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3300\Documents\Відновлення сертифікатів\Сертифікати_загальні файли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F4261" i="1" l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127" i="1"/>
  <c r="F126" i="1"/>
  <c r="F125" i="1"/>
  <c r="F124" i="1"/>
  <c r="F123" i="1"/>
  <c r="F122" i="1"/>
  <c r="F121" i="1"/>
  <c r="F120" i="1"/>
  <c r="F119" i="1"/>
  <c r="F4227" i="1" l="1"/>
  <c r="F4226" i="1"/>
  <c r="F4225" i="1"/>
  <c r="F4224" i="1"/>
  <c r="F4223" i="1"/>
  <c r="F4222" i="1"/>
  <c r="F4221" i="1"/>
  <c r="F4220" i="1"/>
  <c r="F4219" i="1"/>
  <c r="F4218" i="1"/>
  <c r="F4217" i="1"/>
  <c r="F1134" i="1"/>
  <c r="F4216" i="1" l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 l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<sst xmlns="http://schemas.openxmlformats.org/spreadsheetml/2006/main" count="17046" uniqueCount="9061">
  <si>
    <t>Керівник</t>
  </si>
  <si>
    <t>Учасник</t>
  </si>
  <si>
    <t>Посилання на сертифікат</t>
  </si>
  <si>
    <t>ВФЧ/ШВ/У/0001</t>
  </si>
  <si>
    <t>КЗ "Вінницький ліцей №4"</t>
  </si>
  <si>
    <t>Басько Тетяна Петрівна</t>
  </si>
  <si>
    <t>Лепілов Артем Ілліч</t>
  </si>
  <si>
    <t>ВФЧ/ШВ/У/0002</t>
  </si>
  <si>
    <t>Комар Анна Павлівна</t>
  </si>
  <si>
    <t>ВФЧ/ШВ/У/0003</t>
  </si>
  <si>
    <t>Романов Богдан Сергійович</t>
  </si>
  <si>
    <t>ВФЧ/ШВ/У/0004</t>
  </si>
  <si>
    <t>Волянська Єлизавета  Сергіївна</t>
  </si>
  <si>
    <t>ВФЧ/ШВ/У/0005</t>
  </si>
  <si>
    <t>Сук Іван Володимирович</t>
  </si>
  <si>
    <t>ВФЧ/ШВ/У/0006</t>
  </si>
  <si>
    <t>Остачинський Глєб Олександрович</t>
  </si>
  <si>
    <t>ВФЧ/ШВ/У/0007</t>
  </si>
  <si>
    <t>Коваленко Аріна Віталіївна</t>
  </si>
  <si>
    <t>ВФЧ/ШВ/У/0008</t>
  </si>
  <si>
    <t>Барда Ірина Вікторівна</t>
  </si>
  <si>
    <t>ВФЧ/ШВ/У/0009</t>
  </si>
  <si>
    <t>Білик Владислав Володимирович</t>
  </si>
  <si>
    <t>ВФЧ/ШВ/У/0010</t>
  </si>
  <si>
    <t>Кісельова Софія Дмитрівна</t>
  </si>
  <si>
    <t>ВФЧ/ШВ/У/0011</t>
  </si>
  <si>
    <t>Драгун Яна Олександрівна</t>
  </si>
  <si>
    <t>ВФЧ/ШВ/У/0012</t>
  </si>
  <si>
    <t>Похальчук Іван Олександрович</t>
  </si>
  <si>
    <t>ВФЧ/ШВ/У/0013</t>
  </si>
  <si>
    <t>Петрачкова Єлизавета Юріівна</t>
  </si>
  <si>
    <t>ВФЧ/ШВ/У/0014</t>
  </si>
  <si>
    <t>Мельник Аліна Русланівна</t>
  </si>
  <si>
    <t>ВФЧ/ШВ/У/0015</t>
  </si>
  <si>
    <t>Асауляк Павло Олександрович</t>
  </si>
  <si>
    <t>ВФЧ/ШВ/У/0016</t>
  </si>
  <si>
    <t>Антонюк Дмитро Максимович</t>
  </si>
  <si>
    <t>ВФЧ/ШВ/У/0017</t>
  </si>
  <si>
    <t>Лінник Ілья Володимирович</t>
  </si>
  <si>
    <t>ВФЧ/ШВ/У/0018</t>
  </si>
  <si>
    <t>Алтухова Ангеліна Максимівна</t>
  </si>
  <si>
    <t>ВФЧ/ШВ/У/0019</t>
  </si>
  <si>
    <t>Скрипніченко Анастасія Вікторівна</t>
  </si>
  <si>
    <t>ВФЧ/ШВ/У/0020</t>
  </si>
  <si>
    <t>Почапська Іра Іванівна</t>
  </si>
  <si>
    <t>ВФЧ/ШВ/У/0021</t>
  </si>
  <si>
    <t>Пархоменко Ілля Денисович</t>
  </si>
  <si>
    <t>ВФЧ/ШВ/У/0022</t>
  </si>
  <si>
    <t>Кравчук Микола Олександрович</t>
  </si>
  <si>
    <t>ВФЧ/ШВ/У/0023</t>
  </si>
  <si>
    <t>Гарник Анна Вікторівна</t>
  </si>
  <si>
    <t>ВФЧ/ШВ/У/0024</t>
  </si>
  <si>
    <t>Качула Катерина Сергіївна</t>
  </si>
  <si>
    <t>ВФЧ/ШВ/У/0025</t>
  </si>
  <si>
    <t>Щербак Марія Олексіївна</t>
  </si>
  <si>
    <t>ВФЧ/ШВ/У/0026</t>
  </si>
  <si>
    <t>Швець Катерина Олександрівна</t>
  </si>
  <si>
    <t>ВФЧ/ШВ/У/0027</t>
  </si>
  <si>
    <t>Комунальний заклад "Вінницький ліцей 20"</t>
  </si>
  <si>
    <t>Братко Владіслав Володимирович</t>
  </si>
  <si>
    <t>Мельник Софія Вячеславівна</t>
  </si>
  <si>
    <t>ВФЧ/ШВ/У/0028</t>
  </si>
  <si>
    <t>Сугак Нікіта Дмитрович</t>
  </si>
  <si>
    <t>ВФЧ/ШВ/У/0029</t>
  </si>
  <si>
    <t>Андрух Ангеліна Борисівна</t>
  </si>
  <si>
    <t>ВФЧ/ШВ/У/0030</t>
  </si>
  <si>
    <t>Вороді Олександра Артурівна</t>
  </si>
  <si>
    <t>ВФЧ/ШВ/У/0031</t>
  </si>
  <si>
    <t>Підкалюк Зоряна Сергіївна</t>
  </si>
  <si>
    <t>ВФЧ/ШВ/У/0032</t>
  </si>
  <si>
    <t>Керанчук Марія Євгенівна</t>
  </si>
  <si>
    <t>ВФЧ/ШВ/У/0033</t>
  </si>
  <si>
    <t>Нишпорка Дар'я Сергіївна</t>
  </si>
  <si>
    <t>ВФЧ/ШВ/У/0034</t>
  </si>
  <si>
    <t>Бабчинська Ніна Віталіївна</t>
  </si>
  <si>
    <t>ВФЧ/ШВ/У/0035</t>
  </si>
  <si>
    <t>Зеленюк Софія Михайлівна</t>
  </si>
  <si>
    <t>ВФЧ/ШВ/У/0036</t>
  </si>
  <si>
    <t>Юрченко Андрій Романович</t>
  </si>
  <si>
    <t>ВФЧ/ШВ/У/0037</t>
  </si>
  <si>
    <t>Бондар Аліна Валеріївна</t>
  </si>
  <si>
    <t>ВФЧ/ШВ/У/0038</t>
  </si>
  <si>
    <t>Голяк Софія Вікторівна</t>
  </si>
  <si>
    <t>ВФЧ/ШВ/У/0039</t>
  </si>
  <si>
    <t>Остапенко Аліна Олегівна</t>
  </si>
  <si>
    <t>ВФЧ/ШВ/У/0040</t>
  </si>
  <si>
    <t>Семенюк Анастасія Миколаївна</t>
  </si>
  <si>
    <t>ВФЧ/ШВ/У/0041</t>
  </si>
  <si>
    <t>Судома Богдана Миколаївна</t>
  </si>
  <si>
    <t>ВФЧ/ШВ/У/0042</t>
  </si>
  <si>
    <t>Шикір Марія Олегівна</t>
  </si>
  <si>
    <t>ВФЧ/ШВ/У/0043</t>
  </si>
  <si>
    <t>Жмеренюк Назар Васильович</t>
  </si>
  <si>
    <t>ВФЧ/ШВ/У/0044</t>
  </si>
  <si>
    <t>Комунальний заклад "Вахнівський ліцей Турбівської селищної ради Вінницького району Вінницької області"</t>
  </si>
  <si>
    <t>Голуб Тетяна Анатоліївна</t>
  </si>
  <si>
    <t>Ромокаєв Тимур Романович</t>
  </si>
  <si>
    <t>ВФЧ/ШВ/У/0045</t>
  </si>
  <si>
    <t>Кричківська Христина Ярославівна</t>
  </si>
  <si>
    <t>ВФЧ/ШВ/У/0046</t>
  </si>
  <si>
    <t>Кучинський Денис Віталійович</t>
  </si>
  <si>
    <t>ВФЧ/ШВ/У/0047</t>
  </si>
  <si>
    <t>Сотніков Артем Анатолійович</t>
  </si>
  <si>
    <t>ВФЧ/ШВ/У/0048</t>
  </si>
  <si>
    <t>Головач Роман Андрійович</t>
  </si>
  <si>
    <t>ВФЧ/ШВ/У/0049</t>
  </si>
  <si>
    <t>Марчук Єлизавета Вячеславівна</t>
  </si>
  <si>
    <t>ВФЧ/ШВ/У/0050</t>
  </si>
  <si>
    <t>Каченюк Софія Миколаївна</t>
  </si>
  <si>
    <t>ВФЧ/ШВ/У/0051</t>
  </si>
  <si>
    <t>Зломан Максим Володимирович</t>
  </si>
  <si>
    <t>ВФЧ/ШВ/У/0052</t>
  </si>
  <si>
    <t>Ліцей №3 Калинівської міської ради Вінницької області</t>
  </si>
  <si>
    <t>Дяченко Аліна Вікторівна</t>
  </si>
  <si>
    <t>Перегончук Софія Сергіївна</t>
  </si>
  <si>
    <t>ВФЧ/ШВ/У/0053</t>
  </si>
  <si>
    <t>Габрик Христина Максимівна</t>
  </si>
  <si>
    <t>ВФЧ/ШВ/У/0054</t>
  </si>
  <si>
    <t>Драчук Костянтин Григорович</t>
  </si>
  <si>
    <t>ВФЧ/ШВ/У/0055</t>
  </si>
  <si>
    <t>Репенко Олександр Антонович</t>
  </si>
  <si>
    <t>ВФЧ/ШВ/У/0056</t>
  </si>
  <si>
    <t>Ліцей №1 селища Крижопіль</t>
  </si>
  <si>
    <t>Купченко Надія Анатоліївна</t>
  </si>
  <si>
    <t>Бондар Катерина Павлівна</t>
  </si>
  <si>
    <t>ВФЧ/ШВ/У/0057</t>
  </si>
  <si>
    <t>Василишен Артем Миколайович</t>
  </si>
  <si>
    <t>ВФЧ/ШВ/У/0058</t>
  </si>
  <si>
    <t>Верестун Олена Володимирівна</t>
  </si>
  <si>
    <t>ВФЧ/ШВ/У/0059</t>
  </si>
  <si>
    <t>Гіроль Софія Олександрівна</t>
  </si>
  <si>
    <t>ВФЧ/ШВ/У/0060</t>
  </si>
  <si>
    <t>Гулковська Кіра Тимурівна</t>
  </si>
  <si>
    <t>ВФЧ/ШВ/У/0061</t>
  </si>
  <si>
    <t>Звольський Дмитро Григорович</t>
  </si>
  <si>
    <t>ВФЧ/ШВ/У/0062</t>
  </si>
  <si>
    <t>Ісайко Аліна Леонідівна</t>
  </si>
  <si>
    <t>ВФЧ/ШВ/У/0063</t>
  </si>
  <si>
    <t>Каліберда Вероніка Миколаївна</t>
  </si>
  <si>
    <t>ВФЧ/ШВ/У/0064</t>
  </si>
  <si>
    <t>Ковальчук Анна Назаріївна</t>
  </si>
  <si>
    <t>ВФЧ/ШВ/У/0065</t>
  </si>
  <si>
    <t>Лозовська Діана Сергіївна</t>
  </si>
  <si>
    <t>ВФЧ/ШВ/У/0066</t>
  </si>
  <si>
    <t>Мотель Мирослава Павлівна</t>
  </si>
  <si>
    <t>ВФЧ/ШВ/У/0067</t>
  </si>
  <si>
    <t>Півторак Аліна Віталіївна</t>
  </si>
  <si>
    <t>ВФЧ/ШВ/У/0068</t>
  </si>
  <si>
    <t>Плаксій Олександра Миколаївна</t>
  </si>
  <si>
    <t>ВФЧ/ШВ/У/0069</t>
  </si>
  <si>
    <t>Ситник Ольга Олегівна</t>
  </si>
  <si>
    <t>ВФЧ/ШВ/У/0070</t>
  </si>
  <si>
    <t>Смішна Катерина Сергіївна</t>
  </si>
  <si>
    <t>ВФЧ/ШВ/У/0071</t>
  </si>
  <si>
    <t>Тіхоненко Даніїл Валерійович</t>
  </si>
  <si>
    <t>ВФЧ/ШВ/У/0072</t>
  </si>
  <si>
    <t>Череватий Артем Олександрович</t>
  </si>
  <si>
    <t>ВФЧ/ШВ/У/0073</t>
  </si>
  <si>
    <t>Шпуро Андрій Олександрович</t>
  </si>
  <si>
    <t>ВФЧ/ШВ/У/0074</t>
  </si>
  <si>
    <t>Комунальний заклад "Якушинецький ліцей" Вінницької області</t>
  </si>
  <si>
    <t>Лукашева Олена Валеріївна</t>
  </si>
  <si>
    <t>Бабій Марина Сергіївна</t>
  </si>
  <si>
    <t>ВФЧ/ШВ/У/0075</t>
  </si>
  <si>
    <t>Божик Вікторія Володимирівна</t>
  </si>
  <si>
    <t>ВФЧ/ШВ/У/0076</t>
  </si>
  <si>
    <t>Безсмертна Ніна Петрівна</t>
  </si>
  <si>
    <t>ВФЧ/ШВ/У/0077</t>
  </si>
  <si>
    <t>Веретельник Роман Петрович</t>
  </si>
  <si>
    <t>ВФЧ/ШВ/У/0078</t>
  </si>
  <si>
    <t>Гедзюк Максим Сергійович</t>
  </si>
  <si>
    <t>ВФЧ/ШВ/У/0079</t>
  </si>
  <si>
    <t>Качан Єлизавета Олександрівна</t>
  </si>
  <si>
    <t>ВФЧ/ШВ/У/0080</t>
  </si>
  <si>
    <t>Кириленко Михайло Володимирович</t>
  </si>
  <si>
    <t>ВФЧ/ШВ/У/0081</t>
  </si>
  <si>
    <t>Малік Софія Василівна</t>
  </si>
  <si>
    <t>ВФЧ/ШВ/У/0082</t>
  </si>
  <si>
    <t>Мельник Марія Вікторівна</t>
  </si>
  <si>
    <t>ВФЧ/ШВ/У/0083</t>
  </si>
  <si>
    <t>Мельник Ірина Анатоліївна</t>
  </si>
  <si>
    <t>ВФЧ/ШВ/У/0084</t>
  </si>
  <si>
    <t>Мурований Тарас Олександрович</t>
  </si>
  <si>
    <t>ВФЧ/ШВ/У/0085</t>
  </si>
  <si>
    <t>Олійник Анастасія Андріївна</t>
  </si>
  <si>
    <t>ВФЧ/ШВ/У/0086</t>
  </si>
  <si>
    <t>Паранюк Лілія Анатоліївна</t>
  </si>
  <si>
    <t>ВФЧ/ШВ/У/0087</t>
  </si>
  <si>
    <t>Паризька Ольга Ігорівна</t>
  </si>
  <si>
    <t>ВФЧ/ШВ/У/0088</t>
  </si>
  <si>
    <t>Прокопова Дарія Петрівна</t>
  </si>
  <si>
    <t>ВФЧ/ШВ/У/0089</t>
  </si>
  <si>
    <t>Тацюк Ілля Валентинович</t>
  </si>
  <si>
    <t>ВФЧ/ШВ/У/0090</t>
  </si>
  <si>
    <t>Цісар Анастасія Олександрівна</t>
  </si>
  <si>
    <t>ВФЧ/ШВ/У/0091</t>
  </si>
  <si>
    <t>Черемха Богдан Сергійович</t>
  </si>
  <si>
    <t>ВФЧ/ШВ/У/0092</t>
  </si>
  <si>
    <t>Шмігельська Софія Олегівна</t>
  </si>
  <si>
    <t>ВФЧ/ШВ/У/0093</t>
  </si>
  <si>
    <t>Юрченко Ольга Іванівна</t>
  </si>
  <si>
    <t>ВФЧ/ШВ/У/0094</t>
  </si>
  <si>
    <t>Якубовський Дмитро Вікторович</t>
  </si>
  <si>
    <t>ВФЧ/ШВ/У/0095</t>
  </si>
  <si>
    <t>Комунальний заклад "Вінницький Ліцей №7 ім.Олександра Сухомовського"</t>
  </si>
  <si>
    <t>Парфенюк Ірина Григорівна</t>
  </si>
  <si>
    <t>Гродська Ангеліна Юріївна</t>
  </si>
  <si>
    <t>ВФЧ/ШВ/У/0096</t>
  </si>
  <si>
    <t>Гусак Софія Володимирівна</t>
  </si>
  <si>
    <t>ВФЧ/ШВ/У/0097</t>
  </si>
  <si>
    <t>Залюбівський Денис Петрович</t>
  </si>
  <si>
    <t>ВФЧ/ШВ/У/0098</t>
  </si>
  <si>
    <t>Козумляк Дмитро Романович</t>
  </si>
  <si>
    <t>ВФЧ/ШВ/У/0099</t>
  </si>
  <si>
    <t>Кущ Марія Олександрівна</t>
  </si>
  <si>
    <t>ВФЧ/ШВ/У/0100</t>
  </si>
  <si>
    <t>Маланчак Ігор Сергійович</t>
  </si>
  <si>
    <t>ВФЧ/ШВ/У/0101</t>
  </si>
  <si>
    <t>Очеретнюк Софія Костянтинівна</t>
  </si>
  <si>
    <t>ВФЧ/ШВ/У/0102</t>
  </si>
  <si>
    <t>Покотинський Сергій Олеговчи</t>
  </si>
  <si>
    <t>ВФЧ/ШВ/У/0103</t>
  </si>
  <si>
    <t>Семенчук Владислав Володимирович</t>
  </si>
  <si>
    <t>ВФЧ/ШВ/У/0104</t>
  </si>
  <si>
    <t>Слободянюк Ярослав Самірович</t>
  </si>
  <si>
    <t>ВФЧ/ШВ/У/0105</t>
  </si>
  <si>
    <t>Тросюк Дарина Володимирівна</t>
  </si>
  <si>
    <t>ВФЧ/ШВ/У/0106</t>
  </si>
  <si>
    <t>Шалінський Арсеній Юрійович</t>
  </si>
  <si>
    <t>ВФЧ/ШВ/У/0107</t>
  </si>
  <si>
    <t>Барський ліцей №4 Барської міської ради</t>
  </si>
  <si>
    <t>Рудоман Тетяна Вікторівна</t>
  </si>
  <si>
    <t>Василик Каріна Олегівна</t>
  </si>
  <si>
    <t>ВФЧ/ШВ/У/0108</t>
  </si>
  <si>
    <t>Гарник-Корчинський Артем Денисович</t>
  </si>
  <si>
    <t>ВФЧ/ШВ/У/0109</t>
  </si>
  <si>
    <t>Гуменюк Даниїл Максимович</t>
  </si>
  <si>
    <t>ВФЧ/ШВ/У/0110</t>
  </si>
  <si>
    <t>Григорчук Анна Сергіївна</t>
  </si>
  <si>
    <t>ВФЧ/ШВ/У/0111</t>
  </si>
  <si>
    <t>Залевський Андрій Юрійович</t>
  </si>
  <si>
    <t>ВФЧ/ШВ/У/0112</t>
  </si>
  <si>
    <t>Карташова Валерія Русланівна</t>
  </si>
  <si>
    <t>ВФЧ/ШВ/У/0113</t>
  </si>
  <si>
    <t>Кашуба Юлія Володимирівна</t>
  </si>
  <si>
    <t>ВФЧ/ШВ/У/0114</t>
  </si>
  <si>
    <t>Кубова Альона Олександрівна</t>
  </si>
  <si>
    <t>ВФЧ/ШВ/У/0115</t>
  </si>
  <si>
    <t>Нікітенко Вікторія В’ячеславівна</t>
  </si>
  <si>
    <t>ВФЧ/ШВ/У/0116</t>
  </si>
  <si>
    <t>Онуфрійчук Богдан Леонідович</t>
  </si>
  <si>
    <t>ВФЧ/ШВ/У/0117</t>
  </si>
  <si>
    <t>Степанкевич Олена Миколаївна</t>
  </si>
  <si>
    <t>ВФЧ/ШВ/У/0118</t>
  </si>
  <si>
    <t>Бершадський ліцей Бершадської міської ради Гайсинського району</t>
  </si>
  <si>
    <t>Жданович Вікторія Олександрівна</t>
  </si>
  <si>
    <t>ВФЧ/ШВ/У/0119</t>
  </si>
  <si>
    <t>Мустяце Аріна Олегівна</t>
  </si>
  <si>
    <t>ВФЧ/ШВ/У/0120</t>
  </si>
  <si>
    <t>Петрик Віталій Петрович</t>
  </si>
  <si>
    <t>ВФЧ/ШВ/У/0121</t>
  </si>
  <si>
    <t>Прудиус Анна Віталіївна</t>
  </si>
  <si>
    <t>ВФЧ/ШВ/У/0122</t>
  </si>
  <si>
    <t>Свиридовська Наталія Сергіївна</t>
  </si>
  <si>
    <t>ВФЧ/ШВ/У/0123</t>
  </si>
  <si>
    <t>Сікорська Діана Вікторівна</t>
  </si>
  <si>
    <t>ВФЧ/ШВ/У/0124</t>
  </si>
  <si>
    <t>Тихонова Яна Віталіївна</t>
  </si>
  <si>
    <t>ВФЧ/ШВ/У/0125</t>
  </si>
  <si>
    <t>Шатайло Ауріка Вікторівна</t>
  </si>
  <si>
    <t>ВФЧ/ШВ/У/0126</t>
  </si>
  <si>
    <t>Шевчук Анна Русланівна</t>
  </si>
  <si>
    <t>ВФЧ/ШВ/У/0127</t>
  </si>
  <si>
    <t>Комунальний заклад "Дашковецький ліцей Якушинецької сільської ради Вінницької області"</t>
  </si>
  <si>
    <t>Тихоненко Надія Миколаївна</t>
  </si>
  <si>
    <t>Олексієнко Роман Віталійович</t>
  </si>
  <si>
    <t>ВФЧ/ШВ/У/0128</t>
  </si>
  <si>
    <t>Бевх Андрій Сергійович</t>
  </si>
  <si>
    <t>ВФЧ/ШВ/У/0129</t>
  </si>
  <si>
    <t>Реміняк Вікторія Миколаївна</t>
  </si>
  <si>
    <t>ВФЧ/ШВ/У/0130</t>
  </si>
  <si>
    <t>Ткаченко Дарія Володимирівна</t>
  </si>
  <si>
    <t>ВФЧ/ШВ/У/0131</t>
  </si>
  <si>
    <t>Денисюк Юлія Володимирівна</t>
  </si>
  <si>
    <t>ВФЧ/ШВ/У/0132</t>
  </si>
  <si>
    <t>Вісіцка Анастасія Юріївна</t>
  </si>
  <si>
    <t>ВФЧ/ШВ/У/0133</t>
  </si>
  <si>
    <t>Париська Тетяна Іванівна</t>
  </si>
  <si>
    <t>ВФЧ/ШВ/У/0134</t>
  </si>
  <si>
    <t>Герасименко Роман В'ячеславович</t>
  </si>
  <si>
    <t>ВФЧ/ШВ/У/0135</t>
  </si>
  <si>
    <t>Цуканов Богдан Віталійович</t>
  </si>
  <si>
    <t>ВФЧ/ШВ/У/0136</t>
  </si>
  <si>
    <t>Мацієвський Олександр Миколайович</t>
  </si>
  <si>
    <t>ВФЧ/ШВ/У/0137</t>
  </si>
  <si>
    <t>Ткачук Давід Олександрович</t>
  </si>
  <si>
    <t>ВФЧ/ШВ/У/0138</t>
  </si>
  <si>
    <t>Гричина Ілля Вікторович</t>
  </si>
  <si>
    <t>ВФЧ/ШВ/У/0139</t>
  </si>
  <si>
    <t>Миронюк Дмитро Петрович</t>
  </si>
  <si>
    <t>ВФЧ/ШВ/У/0140</t>
  </si>
  <si>
    <t>Чумак Софія Вікторівна</t>
  </si>
  <si>
    <t>ВФЧ/ШВ/У/0141</t>
  </si>
  <si>
    <t>Данилюк Катерина Анатоліївна</t>
  </si>
  <si>
    <t>ВФЧ/ШВ/У/0142</t>
  </si>
  <si>
    <t>Буртна Тетяна Петрівна</t>
  </si>
  <si>
    <t>ВФЧ/ШВ/У/0143</t>
  </si>
  <si>
    <t>Кліменко Катерина Дмитрівна</t>
  </si>
  <si>
    <t>ВФЧ/ШВ/У/0144</t>
  </si>
  <si>
    <t>Токар Степан Володимирович</t>
  </si>
  <si>
    <t>ВФЧ/ШВ/У/0145</t>
  </si>
  <si>
    <t>Комунальний заклад "Вінницький ліцей №12"</t>
  </si>
  <si>
    <t>Цегольник Ілона Василівна</t>
  </si>
  <si>
    <t>Терез Катерина</t>
  </si>
  <si>
    <t>ВФЧ/ШВ/У/0146</t>
  </si>
  <si>
    <t>Паламарчук Марія</t>
  </si>
  <si>
    <t>ВФЧ/ШВ/У/0147</t>
  </si>
  <si>
    <t>Гаврілов Ілля</t>
  </si>
  <si>
    <t>ВФЧ/ШВ/У/0148</t>
  </si>
  <si>
    <t>Ященко Анастасія</t>
  </si>
  <si>
    <t>ВФЧ/ШВ/У/0149</t>
  </si>
  <si>
    <t>Шевчук Ірина</t>
  </si>
  <si>
    <t>ВФЧ/ШВ/У/0150</t>
  </si>
  <si>
    <t>Зозуля Олексій</t>
  </si>
  <si>
    <t>ВФЧ/ШВ/У/0151</t>
  </si>
  <si>
    <t>Лошакова Вікторія</t>
  </si>
  <si>
    <t>ВФЧ/ШВ/У/0152</t>
  </si>
  <si>
    <t>Панчак Олександра</t>
  </si>
  <si>
    <t>ВФЧ/ШВ/У/0153</t>
  </si>
  <si>
    <t>Дидик Єлизавета</t>
  </si>
  <si>
    <t>ВФЧ/ШВ/У/0154</t>
  </si>
  <si>
    <t>Малько Владислава</t>
  </si>
  <si>
    <t>ВФЧ/ШВ/У/0155</t>
  </si>
  <si>
    <t>Козюк Дарія</t>
  </si>
  <si>
    <t>ВФЧ/ШВ/У/0156</t>
  </si>
  <si>
    <t>Морозова Олександра</t>
  </si>
  <si>
    <t>ВФЧ/ШВ/У/0157</t>
  </si>
  <si>
    <t>Гнідунець Ольга</t>
  </si>
  <si>
    <t>ВФЧ/ШВ/У/0158</t>
  </si>
  <si>
    <t>Коломієць Софія</t>
  </si>
  <si>
    <t>ВФЧ/ШВ/У/0159</t>
  </si>
  <si>
    <t>Сивак Анастасія</t>
  </si>
  <si>
    <t>ВФЧ/ШВ/У/0160</t>
  </si>
  <si>
    <t>Білозорець Дмитро</t>
  </si>
  <si>
    <t>ВФЧ/ШВ/У/0161</t>
  </si>
  <si>
    <t>Приймак Катерина</t>
  </si>
  <si>
    <t>ВФЧ/ШВ/У/0162</t>
  </si>
  <si>
    <t>Ткаченко Нікіта</t>
  </si>
  <si>
    <t>ВФЧ/ШВ/У/0163</t>
  </si>
  <si>
    <t>Васильченко Софія</t>
  </si>
  <si>
    <t>ВФЧ/ШВ/У/0164</t>
  </si>
  <si>
    <t>Возна Вікторія</t>
  </si>
  <si>
    <t>ВФЧ/ШВ/У/0165</t>
  </si>
  <si>
    <t>Вакарук Артем</t>
  </si>
  <si>
    <t>ВФЧ/ШВ/У/0166</t>
  </si>
  <si>
    <t>Ісєва Вікторія</t>
  </si>
  <si>
    <t>ВФЧ/ШВ/У/0167</t>
  </si>
  <si>
    <t>Єршова Єлизавета</t>
  </si>
  <si>
    <t>ВФЧ/ШВ/У/0168</t>
  </si>
  <si>
    <t>Кошельний Максим</t>
  </si>
  <si>
    <t>ВФЧ/ШВ/У/0169</t>
  </si>
  <si>
    <t>Ковтонюк Олександр</t>
  </si>
  <si>
    <t>ВФЧ/ШВ/У/0170</t>
  </si>
  <si>
    <t>Рябенька Анна</t>
  </si>
  <si>
    <t>ВФЧ/ШВ/У/0171</t>
  </si>
  <si>
    <t>Стецюра Вікторія</t>
  </si>
  <si>
    <t>ВФЧ/ШВ/У/0172</t>
  </si>
  <si>
    <t>Смоля Каріна</t>
  </si>
  <si>
    <t>ВФЧ/ШВ/У/0173</t>
  </si>
  <si>
    <t>Комунальний заклад "Лука- Мелешківський ліцей Лука-Мелешківської сільської ради Вінницької області"</t>
  </si>
  <si>
    <t>Чорновіл Ірина Анатоліївна</t>
  </si>
  <si>
    <t>Гончарук Марія Сергіївна</t>
  </si>
  <si>
    <t>ВФЧ/ШВ/У/0174</t>
  </si>
  <si>
    <t>Архіпова Яна Ігорівна</t>
  </si>
  <si>
    <t>ВФЧ/ШВ/У/0175</t>
  </si>
  <si>
    <t>Кожушний Владислав Олегович</t>
  </si>
  <si>
    <t>ВФЧ/ШВ/У/0176</t>
  </si>
  <si>
    <t>Забуснюк Валерія Ігорівна</t>
  </si>
  <si>
    <t>ВФЧ/ШВ/У/0177</t>
  </si>
  <si>
    <t>Дубова Олександра Юріївна</t>
  </si>
  <si>
    <t>ВФЧ/ШВ/У/0178</t>
  </si>
  <si>
    <t>Брижата Діана Сергіївна</t>
  </si>
  <si>
    <t>ВФЧ/ШВ/У/0179</t>
  </si>
  <si>
    <t>Вусатюк Дмитро  Сергійович</t>
  </si>
  <si>
    <t>ВФЧ/ШВ/У/0180</t>
  </si>
  <si>
    <t>Медюк Ярослав Олексійович</t>
  </si>
  <si>
    <t>ВФЧ/ШВ/У/0181</t>
  </si>
  <si>
    <t>Горохівський ліцей №2 Горохівської міської ради</t>
  </si>
  <si>
    <t>Волощук Валентина Федорівна</t>
  </si>
  <si>
    <t>Борило Яна Андріївна</t>
  </si>
  <si>
    <t>ВФЧ/ШВ/У/0182</t>
  </si>
  <si>
    <t>Бурчак Дмитро Юрійович</t>
  </si>
  <si>
    <t>ВФЧ/ШВ/У/0183</t>
  </si>
  <si>
    <t>Гудзенко Захар Тарасович</t>
  </si>
  <si>
    <t>ВФЧ/ШВ/У/0184</t>
  </si>
  <si>
    <t>Захарчук Богдана Сергіївна</t>
  </si>
  <si>
    <t>ВФЧ/ШВ/У/0185</t>
  </si>
  <si>
    <t>Краков'як Єва Романівна</t>
  </si>
  <si>
    <t>ВФЧ/ШВ/У/0186</t>
  </si>
  <si>
    <t>Кривчук Соломія Федорівна</t>
  </si>
  <si>
    <t>ВФЧ/ШВ/У/0187</t>
  </si>
  <si>
    <t>Остапенко Артем Олегович</t>
  </si>
  <si>
    <t>ВФЧ/ШВ/У/0188</t>
  </si>
  <si>
    <t>Узорук Алла Андріївна</t>
  </si>
  <si>
    <t>ВФЧ/ШВ/У/0189</t>
  </si>
  <si>
    <t>Феджора Михайло Олегович</t>
  </si>
  <si>
    <t>ВФЧ/ШВ/У/0190</t>
  </si>
  <si>
    <t>Форманюк Ілля Юрійович</t>
  </si>
  <si>
    <t>ВФЧ/ШВ/У/0191</t>
  </si>
  <si>
    <t>Шевченко Данило Володимирович</t>
  </si>
  <si>
    <t>ВФЧ/ШВ/У/0192</t>
  </si>
  <si>
    <t>Янюк Дмитро Борисович</t>
  </si>
  <si>
    <t>ВФЧ/ШВ/У/0193</t>
  </si>
  <si>
    <t>ЗАКЛАД ЗАГАЛЬНОЇ СЕРЕДНЬОЇ ОСВІТИ "ЛІЦЕЙ №1 м.КОВЕЛЯ"</t>
  </si>
  <si>
    <t>Давидюк Віталій Васильович</t>
  </si>
  <si>
    <t>Мельник Вароніка Сергіївна</t>
  </si>
  <si>
    <t>ВФЧ/ШВ/У/0194</t>
  </si>
  <si>
    <t>Денисюк Олександр Віталійович</t>
  </si>
  <si>
    <t>ВФЧ/ШВ/У/0195</t>
  </si>
  <si>
    <t>Дмитрук Діана Романівна</t>
  </si>
  <si>
    <t>ВФЧ/ШВ/У/0196</t>
  </si>
  <si>
    <t>Жуганова Яна Сергіївна</t>
  </si>
  <si>
    <t>ВФЧ/ШВ/У/0197</t>
  </si>
  <si>
    <t>Ковальчук Дарина Богданівна</t>
  </si>
  <si>
    <t>ВФЧ/ШВ/У/0198</t>
  </si>
  <si>
    <t>Курбай Назар Володимирович</t>
  </si>
  <si>
    <t>ВФЧ/ШВ/У/0199</t>
  </si>
  <si>
    <t>Мартинюк Максим Васильович</t>
  </si>
  <si>
    <t>ВФЧ/ШВ/У/0200</t>
  </si>
  <si>
    <t>Данилюк Анастасія Вікторівна</t>
  </si>
  <si>
    <t>ВФЧ/ШВ/У/0201</t>
  </si>
  <si>
    <t>Давидюк Заріна Миколаївна</t>
  </si>
  <si>
    <t>ВФЧ/ШВ/У/0202</t>
  </si>
  <si>
    <t>Титюк Ангеліна Ігорівна</t>
  </si>
  <si>
    <t>ВФЧ/ШВ/У/0203</t>
  </si>
  <si>
    <t>Дорош Дарина Анатоліївна</t>
  </si>
  <si>
    <t>ВФЧ/ШВ/У/0204</t>
  </si>
  <si>
    <t>Літвінчук Олександра Анатоліївна</t>
  </si>
  <si>
    <t>ВФЧ/ШВ/У/0205</t>
  </si>
  <si>
    <t>Жаб'юк Роман Андрійович</t>
  </si>
  <si>
    <t>ВФЧ/ШВ/У/0206</t>
  </si>
  <si>
    <t>Корнійчук Уляна Богданівна</t>
  </si>
  <si>
    <t>ВФЧ/ШВ/У/0207</t>
  </si>
  <si>
    <t>Хоменчук Арсен Юрійович</t>
  </si>
  <si>
    <t>ВФЧ/ШВ/У/0208</t>
  </si>
  <si>
    <t>Улітич Богдан Олександрович</t>
  </si>
  <si>
    <t>ВФЧ/ШВ/У/0209</t>
  </si>
  <si>
    <t>Мельник Юрій Дмитрович</t>
  </si>
  <si>
    <t>ВФЧ/ШВ/У/0210</t>
  </si>
  <si>
    <t>Польчук Вероніка Петрівна</t>
  </si>
  <si>
    <t>ВФЧ/ШВ/У/0211</t>
  </si>
  <si>
    <t>ЛІЦЕЙ ІМЕНІ ОЛЕНИ ПЧІЛКИ М. КОВЕЛЯ ВОЛИНСЬКОЇ ОБЛАСТІ</t>
  </si>
  <si>
    <t>Мельничук Анна Михайлівна</t>
  </si>
  <si>
    <t>ВФЧ/ШВ/У/0212</t>
  </si>
  <si>
    <t>Омельянчук Софія Сергіївна</t>
  </si>
  <si>
    <t>ВФЧ/ШВ/У/0213</t>
  </si>
  <si>
    <t>Прадійчук Арсеній Ігорович</t>
  </si>
  <si>
    <t>ВФЧ/ШВ/У/0214</t>
  </si>
  <si>
    <t>Сахалюк Вероніка Юріївна</t>
  </si>
  <si>
    <t>ВФЧ/ШВ/У/0215</t>
  </si>
  <si>
    <t>Дудік Анна Олегівна</t>
  </si>
  <si>
    <t>ВФЧ/ШВ/У/0216</t>
  </si>
  <si>
    <t>Півень Анна Олександрівна</t>
  </si>
  <si>
    <t>ВФЧ/ШВ/У/0217</t>
  </si>
  <si>
    <t>Сироватка Антоніна Павлівна</t>
  </si>
  <si>
    <t>ВФЧ/ШВ/У/0218</t>
  </si>
  <si>
    <t>Курчина Аліна Максимівна</t>
  </si>
  <si>
    <t>ВФЧ/ШВ/У/0219</t>
  </si>
  <si>
    <t>Лебедюк Каріна Олександрівна</t>
  </si>
  <si>
    <t>ВФЧ/ШВ/У/0220</t>
  </si>
  <si>
    <t>Ципящук Наталія Вікторівна</t>
  </si>
  <si>
    <t>ВФЧ/ШВ/У/0221</t>
  </si>
  <si>
    <t>КЗЗСО "Луцький ліцей №27 Луцької міської ради"</t>
  </si>
  <si>
    <t>Диня Ольга Ігорівна</t>
  </si>
  <si>
    <t>Богунова Надія Сергіївна</t>
  </si>
  <si>
    <t>ВФЧ/ШВ/У/0222</t>
  </si>
  <si>
    <t>Гребенюк Валентин Юрійович</t>
  </si>
  <si>
    <t>ВФЧ/ШВ/У/0223</t>
  </si>
  <si>
    <t>Гринишин Максим Русланович</t>
  </si>
  <si>
    <t>ВФЧ/ШВ/У/0224</t>
  </si>
  <si>
    <t>Громик Вікторія Петрівна</t>
  </si>
  <si>
    <t>ВФЧ/ШВ/У/0225</t>
  </si>
  <si>
    <t>Губій Артем Олександрович</t>
  </si>
  <si>
    <t>ВФЧ/ШВ/У/0226</t>
  </si>
  <si>
    <t>Дощинська Світлана Олександрівна</t>
  </si>
  <si>
    <t>ВФЧ/ШВ/У/0227</t>
  </si>
  <si>
    <t>Дудик Роман Андрійович</t>
  </si>
  <si>
    <t>ВФЧ/ШВ/У/0228</t>
  </si>
  <si>
    <t>Дудикін Костянтин Вячеславович</t>
  </si>
  <si>
    <t>ВФЧ/ШВ/У/0229</t>
  </si>
  <si>
    <t>Жиров Станіслав Валерійович</t>
  </si>
  <si>
    <t>ВФЧ/ШВ/У/0230</t>
  </si>
  <si>
    <t>Кириченко Ірина Андріївна</t>
  </si>
  <si>
    <t>ВФЧ/ШВ/У/0231</t>
  </si>
  <si>
    <t>Колісник Олесь Зіновійович</t>
  </si>
  <si>
    <t>ВФЧ/ШВ/У/0232</t>
  </si>
  <si>
    <t>Корчук Остап Леонідович</t>
  </si>
  <si>
    <t>ВФЧ/ШВ/У/0233</t>
  </si>
  <si>
    <t>Кузик Юлія Володимирівна</t>
  </si>
  <si>
    <t>ВФЧ/ШВ/У/0234</t>
  </si>
  <si>
    <t>Кузьмяк Ірина Володимирівна</t>
  </si>
  <si>
    <t>ВФЧ/ШВ/У/0235</t>
  </si>
  <si>
    <t>Мельник Анастасія Андріївна</t>
  </si>
  <si>
    <t>ВФЧ/ШВ/У/0236</t>
  </si>
  <si>
    <t>Мерленко Дарія Святославівна</t>
  </si>
  <si>
    <t>ВФЧ/ШВ/У/0237</t>
  </si>
  <si>
    <t>Павлюк Олексій Романович</t>
  </si>
  <si>
    <t>ВФЧ/ШВ/У/0238</t>
  </si>
  <si>
    <t>Паридубець Ілля Ігорович</t>
  </si>
  <si>
    <t>ВФЧ/ШВ/У/0239</t>
  </si>
  <si>
    <t>Піддубний Назар Володимирович</t>
  </si>
  <si>
    <t>ВФЧ/ШВ/У/0240</t>
  </si>
  <si>
    <t>Погосян Сюзанна Едуардівна</t>
  </si>
  <si>
    <t>ВФЧ/ШВ/У/0241</t>
  </si>
  <si>
    <t>Прокопчук Анастасія Вадимівна</t>
  </si>
  <si>
    <t>ВФЧ/ШВ/У/0242</t>
  </si>
  <si>
    <t>Словік Дмитро Романович</t>
  </si>
  <si>
    <t>ВФЧ/ШВ/У/0243</t>
  </si>
  <si>
    <t>Столярчук Михайло Романович</t>
  </si>
  <si>
    <t>ВФЧ/ШВ/У/0244</t>
  </si>
  <si>
    <t>Федчик Арсен Анатолійович</t>
  </si>
  <si>
    <t>ВФЧ/ШВ/У/0245</t>
  </si>
  <si>
    <t>Хрупчик Юліана Валентинівна</t>
  </si>
  <si>
    <t>ВФЧ/ШВ/У/0246</t>
  </si>
  <si>
    <t>Шрамко Володимир Миколайович</t>
  </si>
  <si>
    <t>ВФЧ/ШВ/У/0247</t>
  </si>
  <si>
    <t>Комунальний заклад загальної середньої освіти "Луцький ліцей № 22 Луцької міської ради"</t>
  </si>
  <si>
    <t>Лаговський Віталій Степанович</t>
  </si>
  <si>
    <t>Качмар Святослав Володимирович</t>
  </si>
  <si>
    <t>ВФЧ/ШВ/У/0248</t>
  </si>
  <si>
    <t>Величко Богдан Олександрович</t>
  </si>
  <si>
    <t>ВФЧ/ШВ/У/0249</t>
  </si>
  <si>
    <t>Сахник Анна Сергіївна</t>
  </si>
  <si>
    <t>ВФЧ/ШВ/У/0250</t>
  </si>
  <si>
    <t>Конюх Олександр Сергійович</t>
  </si>
  <si>
    <t>ВФЧ/ШВ/У/0251</t>
  </si>
  <si>
    <t>Собчук Валерія Віталіївна</t>
  </si>
  <si>
    <t>ВФЧ/ШВ/У/0252</t>
  </si>
  <si>
    <t>Ільїн Дмитро Олегович</t>
  </si>
  <si>
    <t>ВФЧ/ШВ/У/0253</t>
  </si>
  <si>
    <t>Аршулік Дмитро Валерійович</t>
  </si>
  <si>
    <t>ВФЧ/ШВ/У/0254</t>
  </si>
  <si>
    <t>Бернадин Юліана Русланівна</t>
  </si>
  <si>
    <t>ВФЧ/ШВ/У/0255</t>
  </si>
  <si>
    <t>Богма Ксенія Віталіївна</t>
  </si>
  <si>
    <t>ВФЧ/ШВ/У/0256</t>
  </si>
  <si>
    <t>Півень Анастасія Іванівна</t>
  </si>
  <si>
    <t>ВФЧ/ШВ/У/0257</t>
  </si>
  <si>
    <t>Свід Андрій Андрійович</t>
  </si>
  <si>
    <t>ВФЧ/ШВ/У/0258</t>
  </si>
  <si>
    <t>Бойко Ірина Тарасівна</t>
  </si>
  <si>
    <t>ВФЧ/ШВ/У/0259</t>
  </si>
  <si>
    <t>Грабовець Станіслав Сергійович</t>
  </si>
  <si>
    <t>ВФЧ/ШВ/У/0260</t>
  </si>
  <si>
    <t>Хоміцька Анастасія Анатоліївна</t>
  </si>
  <si>
    <t>ВФЧ/ШВ/У/0261</t>
  </si>
  <si>
    <t>Кирилюк Софія Миколаївна</t>
  </si>
  <si>
    <t>ВФЧ/ШВ/У/0262</t>
  </si>
  <si>
    <t>Заєць Анна Ігорівна</t>
  </si>
  <si>
    <t>ВФЧ/ШВ/У/0263</t>
  </si>
  <si>
    <t>Романова Соломія Сергіївна</t>
  </si>
  <si>
    <t>ВФЧ/ШВ/У/0264</t>
  </si>
  <si>
    <t>Новак Арсен Володимирович</t>
  </si>
  <si>
    <t>ВФЧ/ШВ/У/0265</t>
  </si>
  <si>
    <t>Лисюк Ілля Вікторович</t>
  </si>
  <si>
    <t>ВФЧ/ШВ/У/0266</t>
  </si>
  <si>
    <t>Кравчук Тетяна Дмитрівна</t>
  </si>
  <si>
    <t>ВФЧ/ШВ/У/0267</t>
  </si>
  <si>
    <t>Ліцей імені Олександра Цинкаловського Володимирської міської ради</t>
  </si>
  <si>
    <t xml:space="preserve">Рипич Дмитро Степанович </t>
  </si>
  <si>
    <t>Чижевський Артем Віталійович</t>
  </si>
  <si>
    <t>ВФЧ/ШВ/У/0268</t>
  </si>
  <si>
    <t>Паламарук Богдан Павлович</t>
  </si>
  <si>
    <t>ВФЧ/ШВ/У/0269</t>
  </si>
  <si>
    <t>Шкринда Артур Русланович</t>
  </si>
  <si>
    <t>ВФЧ/ШВ/У/0270</t>
  </si>
  <si>
    <t>Михальчук Артем Вікторович</t>
  </si>
  <si>
    <t>ВФЧ/ШВ/У/0271</t>
  </si>
  <si>
    <t>Лозовицький Володимир Олександрович</t>
  </si>
  <si>
    <t>ВФЧ/ШВ/У/0272</t>
  </si>
  <si>
    <t>Герасимчук Катерина Сергіївна</t>
  </si>
  <si>
    <t>ВФЧ/ШВ/У/0273</t>
  </si>
  <si>
    <t>Опорний заклад загальної середньої освіти " Хотешівський ліцей"</t>
  </si>
  <si>
    <t>Сидорук Тетяна Іванівна</t>
  </si>
  <si>
    <t>Бойко Максим Сергійович</t>
  </si>
  <si>
    <t>ВФЧ/ШВ/У/0274</t>
  </si>
  <si>
    <t>Карпук Марія Іванівна</t>
  </si>
  <si>
    <t>ВФЧ/ШВ/У/0275</t>
  </si>
  <si>
    <t>Кіпень Вікторія Оксентіївна</t>
  </si>
  <si>
    <t>ВФЧ/ШВ/У/0276</t>
  </si>
  <si>
    <t>Куцик Андрій Андрійович</t>
  </si>
  <si>
    <t>ВФЧ/ШВ/У/0277</t>
  </si>
  <si>
    <t>Маковецька Вероніка Володимирівна</t>
  </si>
  <si>
    <t>ВФЧ/ШВ/У/0278</t>
  </si>
  <si>
    <t>Маковецький Дмитро Богданович</t>
  </si>
  <si>
    <t>ВФЧ/ШВ/У/0279</t>
  </si>
  <si>
    <t>Сидорук Ілля Якович</t>
  </si>
  <si>
    <t>ВФЧ/ШВ/У/0280</t>
  </si>
  <si>
    <t>Фіщук Станіслав Валерійович</t>
  </si>
  <si>
    <t>ВФЧ/ШВ/У/0281</t>
  </si>
  <si>
    <t>Цвих Анастасія Олександрівна</t>
  </si>
  <si>
    <t>ВФЧ/ШВ/У/0282</t>
  </si>
  <si>
    <t>Шамайло Софія Володимирівна</t>
  </si>
  <si>
    <t>ВФЧ/ШВ/У/0283</t>
  </si>
  <si>
    <t>Забродівський ліцей Забродівської сільської ради</t>
  </si>
  <si>
    <t>Сиротюк Оксана Павлівна</t>
  </si>
  <si>
    <t>Лелявська Олександра Віталіївна</t>
  </si>
  <si>
    <t>ВФЧ/ШВ/У/0284</t>
  </si>
  <si>
    <t>Михалевич Олександр Романович</t>
  </si>
  <si>
    <t>ВФЧ/ШВ/У/0285</t>
  </si>
  <si>
    <t>Філіпчук Дмитро Павлович</t>
  </si>
  <si>
    <t>ВФЧ/ШВ/У/0286</t>
  </si>
  <si>
    <t>Кіпень Ілля Вікторович</t>
  </si>
  <si>
    <t>ВФЧ/ШВ/У/0287</t>
  </si>
  <si>
    <t>Ходомай Дарія Андріївна</t>
  </si>
  <si>
    <t>ВФЧ/ШВ/У/0288</t>
  </si>
  <si>
    <t>Банах Тетяна Олександрівна</t>
  </si>
  <si>
    <t>ВФЧ/ШВ/У/0289</t>
  </si>
  <si>
    <t>Олексюк Володимир Анатолійович</t>
  </si>
  <si>
    <t>ВФЧ/ШВ/У/0290</t>
  </si>
  <si>
    <t>Нікончук Софія Миколаївна</t>
  </si>
  <si>
    <t>ВФЧ/ШВ/У/0291</t>
  </si>
  <si>
    <t>Снітко Сергій Сергійович</t>
  </si>
  <si>
    <t>ВФЧ/ШВ/У/0292</t>
  </si>
  <si>
    <t>Тихонюк Яна Миколаївна</t>
  </si>
  <si>
    <t>ВФЧ/ШВ/У/0293</t>
  </si>
  <si>
    <t>Дмитрук Андрій Павлович</t>
  </si>
  <si>
    <t>ВФЧ/ШВ/У/0294</t>
  </si>
  <si>
    <t>Деречей Дарина Володимирівна</t>
  </si>
  <si>
    <t>ВФЧ/ШВ/У/0295</t>
  </si>
  <si>
    <t>Комунальний заклад загальної середньої освіти "Луцький ліцей №25 Луцької міської ради"</t>
  </si>
  <si>
    <t>Троцюк Сергій Андрійович</t>
  </si>
  <si>
    <t>Левинець Богдан</t>
  </si>
  <si>
    <t>ВФЧ/ШВ/У/0296</t>
  </si>
  <si>
    <t>Пилипчук Владислав</t>
  </si>
  <si>
    <t>ВФЧ/ШВ/У/0297</t>
  </si>
  <si>
    <t>Сопронюк Олександра</t>
  </si>
  <si>
    <t>ВФЧ/ШВ/У/0298</t>
  </si>
  <si>
    <t>Шпак Марина</t>
  </si>
  <si>
    <t>ВФЧ/ШВ/У/0299</t>
  </si>
  <si>
    <t>Криченюк Катерина</t>
  </si>
  <si>
    <t>ВФЧ/ШВ/У/0300</t>
  </si>
  <si>
    <t>Строчек Максим</t>
  </si>
  <si>
    <t>ВФЧ/ШВ/У/0301</t>
  </si>
  <si>
    <t>Кмін Юлія</t>
  </si>
  <si>
    <t>ВФЧ/ШВ/У/0302</t>
  </si>
  <si>
    <t>Смаглюк Ілля</t>
  </si>
  <si>
    <t>ВФЧ/ШВ/У/0303</t>
  </si>
  <si>
    <t>Карібян Гоар</t>
  </si>
  <si>
    <t>ВФЧ/ШВ/У/0304</t>
  </si>
  <si>
    <t>Голензовська Анна</t>
  </si>
  <si>
    <t>ВФЧ/ШВ/У/0305</t>
  </si>
  <si>
    <t>Сорока Ольга</t>
  </si>
  <si>
    <t>ВФЧ/ШВ/У/0306</t>
  </si>
  <si>
    <t>Євтушик Богдан</t>
  </si>
  <si>
    <t>ВФЧ/ШВ/У/0307</t>
  </si>
  <si>
    <t>Сосоєнко Маргарита</t>
  </si>
  <si>
    <t>ВФЧ/ШВ/У/0308</t>
  </si>
  <si>
    <t>Талимончук Дмитро</t>
  </si>
  <si>
    <t>ВФЧ/ШВ/У/0309</t>
  </si>
  <si>
    <t>Прядун Богдан</t>
  </si>
  <si>
    <t>ВФЧ/ШВ/У/0310</t>
  </si>
  <si>
    <t>Маковський Назарій</t>
  </si>
  <si>
    <t>ВФЧ/ШВ/У/0311</t>
  </si>
  <si>
    <t>Домінікіна Анастасія</t>
  </si>
  <si>
    <t>ВФЧ/ШВ/У/0312</t>
  </si>
  <si>
    <t>Волинець Богдан</t>
  </si>
  <si>
    <t>ВФЧ/ШВ/У/0313</t>
  </si>
  <si>
    <t>Новосельська Анастасія</t>
  </si>
  <si>
    <t>ВФЧ/ШВ/У/0314</t>
  </si>
  <si>
    <t>Ячменєв Назар</t>
  </si>
  <si>
    <t>ВФЧ/ШВ/У/0315</t>
  </si>
  <si>
    <t>Борода Владислав</t>
  </si>
  <si>
    <t>ВФЧ/ШВ/У/0316</t>
  </si>
  <si>
    <t>Криворізький ліцей №77</t>
  </si>
  <si>
    <t xml:space="preserve">Барзіон Владислав Ігорович </t>
  </si>
  <si>
    <t>Гривачевський Марк Віталійович</t>
  </si>
  <si>
    <t>ВФЧ/ШВ/У/0317</t>
  </si>
  <si>
    <t>Лисак Роман Євгенович</t>
  </si>
  <si>
    <t>ВФЧ/ШВ/У/0318</t>
  </si>
  <si>
    <t>Славінська Софія Олександрівна</t>
  </si>
  <si>
    <t>ВФЧ/ШВ/У/0319</t>
  </si>
  <si>
    <t>Третьякова Маргарита Миколаївна</t>
  </si>
  <si>
    <t>ВФЧ/ШВ/У/0320</t>
  </si>
  <si>
    <t>Колчаєв Олег Антонович</t>
  </si>
  <si>
    <t>ВФЧ/ШВ/У/0321</t>
  </si>
  <si>
    <t>Малашенко Семен Сергійович</t>
  </si>
  <si>
    <t>ВФЧ/ШВ/У/0322</t>
  </si>
  <si>
    <t>Соловйов Іван Миколайович</t>
  </si>
  <si>
    <t>ВФЧ/ШВ/У/0323</t>
  </si>
  <si>
    <t>Гольник Катерина Романівна</t>
  </si>
  <si>
    <t>ВФЧ/ШВ/У/0324</t>
  </si>
  <si>
    <t>Мельник Владислав Віталійович</t>
  </si>
  <si>
    <t>ВФЧ/ШВ/У/0325</t>
  </si>
  <si>
    <t>Чоботарь Ілля Вольдемарович</t>
  </si>
  <si>
    <t>ВФЧ/ШВ/У/0326</t>
  </si>
  <si>
    <t>Захаров Степан Євгенович</t>
  </si>
  <si>
    <t>ВФЧ/ШВ/У/0327</t>
  </si>
  <si>
    <t>Подскребаєва Дар’я Сергіївна</t>
  </si>
  <si>
    <t>ВФЧ/ШВ/У/0328</t>
  </si>
  <si>
    <t>Половинкин Володимир Владиславович</t>
  </si>
  <si>
    <t>ВФЧ/ШВ/У/0329</t>
  </si>
  <si>
    <t>Рубанська Мілена Максимівна</t>
  </si>
  <si>
    <t>ВФЧ/ШВ/У/0330</t>
  </si>
  <si>
    <t>Матова Аліса Дмитрівна</t>
  </si>
  <si>
    <t>ВФЧ/ШВ/У/0331</t>
  </si>
  <si>
    <t>Заклад загальної середньої освіти "Солонянський ліцей" Солонянської селищної ради Дніпропетровської області</t>
  </si>
  <si>
    <t>Бондар Вікторія Олександрівна, Чащін Владислав Ігорович</t>
  </si>
  <si>
    <t>Богдан Костянтин Олександрович</t>
  </si>
  <si>
    <t>ВФЧ/ШВ/У/0332</t>
  </si>
  <si>
    <t>Стариков Іван Олександрович</t>
  </si>
  <si>
    <t>ВФЧ/ШВ/У/0333</t>
  </si>
  <si>
    <t>Сапічева Софія Миколаївна</t>
  </si>
  <si>
    <t>ВФЧ/ШВ/У/0334</t>
  </si>
  <si>
    <t>Черненко Вєроніка Володимирівна</t>
  </si>
  <si>
    <t>ВФЧ/ШВ/У/0335</t>
  </si>
  <si>
    <t>Максімцова Поліна Сергіївна</t>
  </si>
  <si>
    <t>ВФЧ/ШВ/У/0336</t>
  </si>
  <si>
    <t>Глова Єлизавета Євгенівна</t>
  </si>
  <si>
    <t>ВФЧ/ШВ/У/0337</t>
  </si>
  <si>
    <t>Величко Крістіна Олексіївна</t>
  </si>
  <si>
    <t>ВФЧ/ШВ/У/0338</t>
  </si>
  <si>
    <t>Бендес Поліна Іванівна</t>
  </si>
  <si>
    <t>ВФЧ/ШВ/У/0339</t>
  </si>
  <si>
    <t>Колодій Кіра Володимирівна</t>
  </si>
  <si>
    <t>ВФЧ/ШВ/У/0340</t>
  </si>
  <si>
    <t>Строменко Вероніка Ігорівна</t>
  </si>
  <si>
    <t>ВФЧ/ШВ/У/0341</t>
  </si>
  <si>
    <t>Строменко Олександр Юрійович</t>
  </si>
  <si>
    <t>ВФЧ/ШВ/У/0342</t>
  </si>
  <si>
    <t>Музика Поліна Віталіївна</t>
  </si>
  <si>
    <t>ВФЧ/ШВ/У/0343</t>
  </si>
  <si>
    <t>Чумаченко Максим Іванович</t>
  </si>
  <si>
    <t>ВФЧ/ШВ/У/0344</t>
  </si>
  <si>
    <t>Богданівський ліцей Богданівської сільської ради Павлоградського району Дніпропетровської області</t>
  </si>
  <si>
    <t>Борисова Марина Володимирівна</t>
  </si>
  <si>
    <t>Луценко Даніїл Олександрович</t>
  </si>
  <si>
    <t>ВФЧ/ШВ/У/0345</t>
  </si>
  <si>
    <t xml:space="preserve">Криворізький ліцей 115 </t>
  </si>
  <si>
    <t>Вієнко Олеся Борисівна, Полтавська Юлія Василівна</t>
  </si>
  <si>
    <t>Бакал Микита Євгенович</t>
  </si>
  <si>
    <t>ВФЧ/ШВ/У/0346</t>
  </si>
  <si>
    <t>Вавіліна Єлизавета Олександрівна</t>
  </si>
  <si>
    <t>ВФЧ/ШВ/У/0347</t>
  </si>
  <si>
    <t>Мумряк Даніїл Валерійович</t>
  </si>
  <si>
    <t>ВФЧ/ШВ/У/0348</t>
  </si>
  <si>
    <t>Педан Дмитро Ігорович</t>
  </si>
  <si>
    <t>ВФЧ/ШВ/У/0349</t>
  </si>
  <si>
    <t>Пиріг Тетяна Євгенівна</t>
  </si>
  <si>
    <t>ВФЧ/ШВ/У/0350</t>
  </si>
  <si>
    <t>Рожнова Маргарита Іванівна</t>
  </si>
  <si>
    <t>ВФЧ/ШВ/У/0351</t>
  </si>
  <si>
    <t>Трюхан Аліна Сергіївна</t>
  </si>
  <si>
    <t>ВФЧ/ШВ/У/0352</t>
  </si>
  <si>
    <t>Уманчик Кіра Ігорівна</t>
  </si>
  <si>
    <t>ВФЧ/ШВ/У/0353</t>
  </si>
  <si>
    <t>Черних Наталія Миколаївна</t>
  </si>
  <si>
    <t>ВФЧ/ШВ/У/0354</t>
  </si>
  <si>
    <t>Дніпровський ліцей №120 Дніпровської міської ради</t>
  </si>
  <si>
    <t>Волосянко Євгенія Володимирівна</t>
  </si>
  <si>
    <t>Авдієвський Данііл</t>
  </si>
  <si>
    <t>ВФЧ/ШВ/У/0355</t>
  </si>
  <si>
    <t>Амосов Олександр</t>
  </si>
  <si>
    <t>ВФЧ/ШВ/У/0356</t>
  </si>
  <si>
    <t>Андрієвський Рафаель</t>
  </si>
  <si>
    <t>ВФЧ/ШВ/У/0357</t>
  </si>
  <si>
    <t>Артеменко Рінат</t>
  </si>
  <si>
    <t>ВФЧ/ШВ/У/0358</t>
  </si>
  <si>
    <t>Беркатюк Євген</t>
  </si>
  <si>
    <t>ВФЧ/ШВ/У/0359</t>
  </si>
  <si>
    <t>Білоусов Кирило</t>
  </si>
  <si>
    <t>ВФЧ/ШВ/У/0360</t>
  </si>
  <si>
    <t>Бойко В'ячеслав</t>
  </si>
  <si>
    <t>ВФЧ/ШВ/У/0361</t>
  </si>
  <si>
    <t>Гладченко Дар'я</t>
  </si>
  <si>
    <t>ВФЧ/ШВ/У/0362</t>
  </si>
  <si>
    <t>Гончарова Катерина</t>
  </si>
  <si>
    <t>ВФЧ/ШВ/У/0363</t>
  </si>
  <si>
    <t>Гончарук Надія</t>
  </si>
  <si>
    <t>ВФЧ/ШВ/У/0364</t>
  </si>
  <si>
    <t>Гугай Кирило</t>
  </si>
  <si>
    <t>ВФЧ/ШВ/У/0365</t>
  </si>
  <si>
    <t>Гюльбандян Діана</t>
  </si>
  <si>
    <t>ВФЧ/ШВ/У/0366</t>
  </si>
  <si>
    <t>Доніч Максим</t>
  </si>
  <si>
    <t>ВФЧ/ШВ/У/0367</t>
  </si>
  <si>
    <t>Дьомишев Костянтин</t>
  </si>
  <si>
    <t>ВФЧ/ШВ/У/0368</t>
  </si>
  <si>
    <t>Задорожний Данило</t>
  </si>
  <si>
    <t>ВФЧ/ШВ/У/0369</t>
  </si>
  <si>
    <t>Зозуля Даніїл</t>
  </si>
  <si>
    <t>ВФЧ/ШВ/У/0370</t>
  </si>
  <si>
    <t>Ілющенко Софія</t>
  </si>
  <si>
    <t>ВФЧ/ШВ/У/0371</t>
  </si>
  <si>
    <t>Лимаренко Уляна</t>
  </si>
  <si>
    <t>ВФЧ/ШВ/У/0372</t>
  </si>
  <si>
    <t>Митрофанова Анна</t>
  </si>
  <si>
    <t>ВФЧ/ШВ/У/0373</t>
  </si>
  <si>
    <t>Міщенко Ангеліна</t>
  </si>
  <si>
    <t>ВФЧ/ШВ/У/0374</t>
  </si>
  <si>
    <t>Норець Вероніка</t>
  </si>
  <si>
    <t>ВФЧ/ШВ/У/0375</t>
  </si>
  <si>
    <t>Орловська Влада</t>
  </si>
  <si>
    <t>ВФЧ/ШВ/У/0376</t>
  </si>
  <si>
    <t>Піскун Ілля</t>
  </si>
  <si>
    <t>ВФЧ/ШВ/У/0377</t>
  </si>
  <si>
    <t>Сафонінкова Анастасія</t>
  </si>
  <si>
    <t>ВФЧ/ШВ/У/0378</t>
  </si>
  <si>
    <t>Сєров Сергій</t>
  </si>
  <si>
    <t>ВФЧ/ШВ/У/0379</t>
  </si>
  <si>
    <t>Тіщенко Владислав</t>
  </si>
  <si>
    <t>ВФЧ/ШВ/У/0380</t>
  </si>
  <si>
    <t>Токар Степан</t>
  </si>
  <si>
    <t>ВФЧ/ШВ/У/0381</t>
  </si>
  <si>
    <t>Томашевська Дар'я</t>
  </si>
  <si>
    <t>ВФЧ/ШВ/У/0382</t>
  </si>
  <si>
    <t>Чуб Глєб</t>
  </si>
  <si>
    <t>ВФЧ/ШВ/У/0383</t>
  </si>
  <si>
    <t>Штанько Михайло</t>
  </si>
  <si>
    <t>ВФЧ/ШВ/У/0384</t>
  </si>
  <si>
    <t>Бовт Карина</t>
  </si>
  <si>
    <t>ВФЧ/ШВ/У/0385</t>
  </si>
  <si>
    <t>Булах Вероніка</t>
  </si>
  <si>
    <t>ВФЧ/ШВ/У/0386</t>
  </si>
  <si>
    <t>Ванжа Давид</t>
  </si>
  <si>
    <t>ВФЧ/ШВ/У/0387</t>
  </si>
  <si>
    <t>Горланова Вікторія</t>
  </si>
  <si>
    <t>ВФЧ/ШВ/У/0388</t>
  </si>
  <si>
    <t>Грицай Богдан</t>
  </si>
  <si>
    <t>ВФЧ/ШВ/У/0389</t>
  </si>
  <si>
    <t>Грязєва Аліна</t>
  </si>
  <si>
    <t>ВФЧ/ШВ/У/0390</t>
  </si>
  <si>
    <t>Зарайченко Вадим</t>
  </si>
  <si>
    <t>ВФЧ/ШВ/У/0391</t>
  </si>
  <si>
    <t>Здоровцова Кіра</t>
  </si>
  <si>
    <t>ВФЧ/ШВ/У/0392</t>
  </si>
  <si>
    <t>Кисленко Вікторія</t>
  </si>
  <si>
    <t>ВФЧ/ШВ/У/0393</t>
  </si>
  <si>
    <t>Компанець Ярослав</t>
  </si>
  <si>
    <t>ВФЧ/ШВ/У/0394</t>
  </si>
  <si>
    <t>Кондратюк Олексій</t>
  </si>
  <si>
    <t>ВФЧ/ШВ/У/0395</t>
  </si>
  <si>
    <t>Кузнецова Софія</t>
  </si>
  <si>
    <t>ВФЧ/ШВ/У/0396</t>
  </si>
  <si>
    <t>Купріянова Уляна</t>
  </si>
  <si>
    <t>ВФЧ/ШВ/У/0397</t>
  </si>
  <si>
    <t>Лисиціна Владислава</t>
  </si>
  <si>
    <t>ВФЧ/ШВ/У/0398</t>
  </si>
  <si>
    <t>Лобур Катерина</t>
  </si>
  <si>
    <t>ВФЧ/ШВ/У/0399</t>
  </si>
  <si>
    <t>Лук'янова Анастасія</t>
  </si>
  <si>
    <t>ВФЧ/ШВ/У/0400</t>
  </si>
  <si>
    <t>Махоткін Микита</t>
  </si>
  <si>
    <t>ВФЧ/ШВ/У/0401</t>
  </si>
  <si>
    <t>Нечипоренко Єлизавета</t>
  </si>
  <si>
    <t>ВФЧ/ШВ/У/0402</t>
  </si>
  <si>
    <t>Переворський Микола</t>
  </si>
  <si>
    <t>ВФЧ/ШВ/У/0403</t>
  </si>
  <si>
    <t>Попелишкіна Марія</t>
  </si>
  <si>
    <t>ВФЧ/ШВ/У/0404</t>
  </si>
  <si>
    <t>Прихненко Ярослава</t>
  </si>
  <si>
    <t>ВФЧ/ШВ/У/0405</t>
  </si>
  <si>
    <t>Русанов Назар</t>
  </si>
  <si>
    <t>ВФЧ/ШВ/У/0406</t>
  </si>
  <si>
    <t>Савенков Богдан</t>
  </si>
  <si>
    <t>ВФЧ/ШВ/У/0407</t>
  </si>
  <si>
    <t>Сафарова Карина</t>
  </si>
  <si>
    <t>ВФЧ/ШВ/У/0408</t>
  </si>
  <si>
    <t>Симоненко Єва</t>
  </si>
  <si>
    <t>ВФЧ/ШВ/У/0409</t>
  </si>
  <si>
    <t>Соколов Дмитро</t>
  </si>
  <si>
    <t>ВФЧ/ШВ/У/0410</t>
  </si>
  <si>
    <t>Тертична Софія</t>
  </si>
  <si>
    <t>ВФЧ/ШВ/У/0411</t>
  </si>
  <si>
    <t>Фірсов Матвій</t>
  </si>
  <si>
    <t>ВФЧ/ШВ/У/0412</t>
  </si>
  <si>
    <t>Холмогорова Діана</t>
  </si>
  <si>
    <t>ВФЧ/ШВ/У/0413</t>
  </si>
  <si>
    <t>Черненко Анастасія</t>
  </si>
  <si>
    <t>ВФЧ/ШВ/У/0414</t>
  </si>
  <si>
    <t>Апостол Олексій</t>
  </si>
  <si>
    <t>ВФЧ/ШВ/У/0415</t>
  </si>
  <si>
    <t>Бондарець Владислав</t>
  </si>
  <si>
    <t>ВФЧ/ШВ/У/0416</t>
  </si>
  <si>
    <t>Бояр Михайло</t>
  </si>
  <si>
    <t>ВФЧ/ШВ/У/0417</t>
  </si>
  <si>
    <t>Власова Валерія</t>
  </si>
  <si>
    <t>ВФЧ/ШВ/У/0418</t>
  </si>
  <si>
    <t>Григоренко Майя</t>
  </si>
  <si>
    <t>ВФЧ/ШВ/У/0419</t>
  </si>
  <si>
    <t>Громенко Анжеліка</t>
  </si>
  <si>
    <t>ВФЧ/ШВ/У/0420</t>
  </si>
  <si>
    <t>Гусак Діана</t>
  </si>
  <si>
    <t>ВФЧ/ШВ/У/0421</t>
  </si>
  <si>
    <t>Єременко Людмила</t>
  </si>
  <si>
    <t>ВФЧ/ШВ/У/0422</t>
  </si>
  <si>
    <t>Задесенець Марія</t>
  </si>
  <si>
    <t>ВФЧ/ШВ/У/0423</t>
  </si>
  <si>
    <t>Калашнікова Маргарита</t>
  </si>
  <si>
    <t>ВФЧ/ШВ/У/0424</t>
  </si>
  <si>
    <t>Кальметьєва Ксенія</t>
  </si>
  <si>
    <t>ВФЧ/ШВ/У/0425</t>
  </si>
  <si>
    <t>Кирдан Діана</t>
  </si>
  <si>
    <t>ВФЧ/ШВ/У/0426</t>
  </si>
  <si>
    <t>Клюєва Вікторія</t>
  </si>
  <si>
    <t>ВФЧ/ШВ/У/0427</t>
  </si>
  <si>
    <t>Конон Анна</t>
  </si>
  <si>
    <t>ВФЧ/ШВ/У/0428</t>
  </si>
  <si>
    <t>Литвин Тимур</t>
  </si>
  <si>
    <t>ВФЧ/ШВ/У/0429</t>
  </si>
  <si>
    <t>Мелещенко Тимофій</t>
  </si>
  <si>
    <t>ВФЧ/ШВ/У/0430</t>
  </si>
  <si>
    <t>Охрій Анна</t>
  </si>
  <si>
    <t>ВФЧ/ШВ/У/0431</t>
  </si>
  <si>
    <t>Радовінчик Анатолій</t>
  </si>
  <si>
    <t>ВФЧ/ШВ/У/0432</t>
  </si>
  <si>
    <t>Свідерик Крістіна</t>
  </si>
  <si>
    <t>ВФЧ/ШВ/У/0433</t>
  </si>
  <si>
    <t>Семенов Микита</t>
  </si>
  <si>
    <t>ВФЧ/ШВ/У/0434</t>
  </si>
  <si>
    <t>Стародубцева Віталіна</t>
  </si>
  <si>
    <t>ВФЧ/ШВ/У/0435</t>
  </si>
  <si>
    <t>Тітаренко Артем</t>
  </si>
  <si>
    <t>ВФЧ/ШВ/У/0436</t>
  </si>
  <si>
    <t>Тюрінова Кира</t>
  </si>
  <si>
    <t>ВФЧ/ШВ/У/0437</t>
  </si>
  <si>
    <t>Уткін Іван</t>
  </si>
  <si>
    <t>ВФЧ/ШВ/У/0438</t>
  </si>
  <si>
    <t>Шейко Данило</t>
  </si>
  <si>
    <t>ВФЧ/ШВ/У/0439</t>
  </si>
  <si>
    <t>Щеміль Таїсія</t>
  </si>
  <si>
    <t>ВФЧ/ШВ/У/0440</t>
  </si>
  <si>
    <t>Агапонова Ольга</t>
  </si>
  <si>
    <t>ВФЧ/ШВ/У/0441</t>
  </si>
  <si>
    <t>Андріанов Денис</t>
  </si>
  <si>
    <t>ВФЧ/ШВ/У/0442</t>
  </si>
  <si>
    <t>Антонова Віолета</t>
  </si>
  <si>
    <t>ВФЧ/ШВ/У/0443</t>
  </si>
  <si>
    <t>Бандурка Вікторія</t>
  </si>
  <si>
    <t>ВФЧ/ШВ/У/0444</t>
  </si>
  <si>
    <t>Бас Діана</t>
  </si>
  <si>
    <t>ВФЧ/ШВ/У/0445</t>
  </si>
  <si>
    <t>Величенко Денис</t>
  </si>
  <si>
    <t>ВФЧ/ШВ/У/0446</t>
  </si>
  <si>
    <t>Гудзь Марія</t>
  </si>
  <si>
    <t>ВФЧ/ШВ/У/0447</t>
  </si>
  <si>
    <t>Дащенко Володимир</t>
  </si>
  <si>
    <t>ВФЧ/ШВ/У/0448</t>
  </si>
  <si>
    <t>Дробітько Яна</t>
  </si>
  <si>
    <t>ВФЧ/ШВ/У/0449</t>
  </si>
  <si>
    <t>Іванова Олександра</t>
  </si>
  <si>
    <t>ВФЧ/ШВ/У/0450</t>
  </si>
  <si>
    <t>Івасюк Олександр</t>
  </si>
  <si>
    <t>ВФЧ/ШВ/У/0451</t>
  </si>
  <si>
    <t>Іголкін Андрій</t>
  </si>
  <si>
    <t>ВФЧ/ШВ/У/0452</t>
  </si>
  <si>
    <t>Ісаєва Назрін</t>
  </si>
  <si>
    <t>ВФЧ/ШВ/У/0453</t>
  </si>
  <si>
    <t>Ковтун Дмитро</t>
  </si>
  <si>
    <t>ВФЧ/ШВ/У/0454</t>
  </si>
  <si>
    <t>Ковтун Костянтин</t>
  </si>
  <si>
    <t>ВФЧ/ШВ/У/0455</t>
  </si>
  <si>
    <t>Курічева Віра</t>
  </si>
  <si>
    <t>ВФЧ/ШВ/У/0456</t>
  </si>
  <si>
    <t>Левчук Єлизавета</t>
  </si>
  <si>
    <t>ВФЧ/ШВ/У/0457</t>
  </si>
  <si>
    <t>Лозинська Дар'я</t>
  </si>
  <si>
    <t>ВФЧ/ШВ/У/0458</t>
  </si>
  <si>
    <t>Ляшенко Іван</t>
  </si>
  <si>
    <t>ВФЧ/ШВ/У/0459</t>
  </si>
  <si>
    <t>Панахов Тимур</t>
  </si>
  <si>
    <t>ВФЧ/ШВ/У/0460</t>
  </si>
  <si>
    <t>Пелеганчук Мирослава</t>
  </si>
  <si>
    <t>ВФЧ/ШВ/У/0461</t>
  </si>
  <si>
    <t>Пилипенко Вікторія</t>
  </si>
  <si>
    <t>ВФЧ/ШВ/У/0462</t>
  </si>
  <si>
    <t>Піддубний Дмитро</t>
  </si>
  <si>
    <t>ВФЧ/ШВ/У/0463</t>
  </si>
  <si>
    <t>Прокапало Ярослав</t>
  </si>
  <si>
    <t>ВФЧ/ШВ/У/0464</t>
  </si>
  <si>
    <t>Сабініна Кароліна</t>
  </si>
  <si>
    <t>ВФЧ/ШВ/У/0465</t>
  </si>
  <si>
    <t>Самелюк Аріана</t>
  </si>
  <si>
    <t>ВФЧ/ШВ/У/0466</t>
  </si>
  <si>
    <t>Слюсаренко Олег</t>
  </si>
  <si>
    <t>ВФЧ/ШВ/У/0467</t>
  </si>
  <si>
    <t>Сплавська Владислава</t>
  </si>
  <si>
    <t>ВФЧ/ШВ/У/0468</t>
  </si>
  <si>
    <t>Стрижко Артур</t>
  </si>
  <si>
    <t>ВФЧ/ШВ/У/0469</t>
  </si>
  <si>
    <t>Томчик Даніл</t>
  </si>
  <si>
    <t>ВФЧ/ШВ/У/0470</t>
  </si>
  <si>
    <t>Трулевич Віра</t>
  </si>
  <si>
    <t>ВФЧ/ШВ/У/0471</t>
  </si>
  <si>
    <t>Філіпова Анастасія</t>
  </si>
  <si>
    <t>ВФЧ/ШВ/У/0472</t>
  </si>
  <si>
    <t>Чорнобривець Поліна</t>
  </si>
  <si>
    <t>ВФЧ/ШВ/У/0473</t>
  </si>
  <si>
    <t>Чухмаренко Олексій</t>
  </si>
  <si>
    <t>ВФЧ/ШВ/У/0474</t>
  </si>
  <si>
    <t>Шейкін Тимур</t>
  </si>
  <si>
    <t>ВФЧ/ШВ/У/0475</t>
  </si>
  <si>
    <t>Біліченко Марія</t>
  </si>
  <si>
    <t>ВФЧ/ШВ/У/0476</t>
  </si>
  <si>
    <t>Богомолов Ілля</t>
  </si>
  <si>
    <t>ВФЧ/ШВ/У/0477</t>
  </si>
  <si>
    <t>Вербицький Всеволод</t>
  </si>
  <si>
    <t>ВФЧ/ШВ/У/0478</t>
  </si>
  <si>
    <t>Герасименко Іван</t>
  </si>
  <si>
    <t>ВФЧ/ШВ/У/0479</t>
  </si>
  <si>
    <t>Григорова Кіра</t>
  </si>
  <si>
    <t>ВФЧ/ШВ/У/0480</t>
  </si>
  <si>
    <t>Грігор’ян Арсен</t>
  </si>
  <si>
    <t>ВФЧ/ШВ/У/0481</t>
  </si>
  <si>
    <t>Даценко Тимур</t>
  </si>
  <si>
    <t>ВФЧ/ШВ/У/0482</t>
  </si>
  <si>
    <t>Дідович Данііл</t>
  </si>
  <si>
    <t>ВФЧ/ШВ/У/0483</t>
  </si>
  <si>
    <t>Єрошенко Ярослав</t>
  </si>
  <si>
    <t>ВФЧ/ШВ/У/0484</t>
  </si>
  <si>
    <t>Закутня Діана</t>
  </si>
  <si>
    <t>ВФЧ/ШВ/У/0485</t>
  </si>
  <si>
    <t>Казимова Аміна</t>
  </si>
  <si>
    <t>ВФЧ/ШВ/У/0486</t>
  </si>
  <si>
    <t>Кошель Микола</t>
  </si>
  <si>
    <t>ВФЧ/ШВ/У/0487</t>
  </si>
  <si>
    <t>Кудряшова Марина</t>
  </si>
  <si>
    <t>ВФЧ/ШВ/У/0488</t>
  </si>
  <si>
    <t>Кузьменко Михайло</t>
  </si>
  <si>
    <t>ВФЧ/ШВ/У/0489</t>
  </si>
  <si>
    <t>Кушніренко Карина</t>
  </si>
  <si>
    <t>ВФЧ/ШВ/У/0490</t>
  </si>
  <si>
    <t>Мельник Дарина</t>
  </si>
  <si>
    <t>ВФЧ/ШВ/У/0491</t>
  </si>
  <si>
    <t>Молочнюк Дамир</t>
  </si>
  <si>
    <t>ВФЧ/ШВ/У/0492</t>
  </si>
  <si>
    <t>Нагаєв Олексій</t>
  </si>
  <si>
    <t>ВФЧ/ШВ/У/0493</t>
  </si>
  <si>
    <t>Нєкрасов Олексій</t>
  </si>
  <si>
    <t>ВФЧ/ШВ/У/0494</t>
  </si>
  <si>
    <t>Нікітін Ілля</t>
  </si>
  <si>
    <t>ВФЧ/ШВ/У/0495</t>
  </si>
  <si>
    <t>П'ятова Софія</t>
  </si>
  <si>
    <t>ВФЧ/ШВ/У/0496</t>
  </si>
  <si>
    <t>ВФЧ/ШВ/У/0497</t>
  </si>
  <si>
    <t>Пєтухов Іван</t>
  </si>
  <si>
    <t>ВФЧ/ШВ/У/0498</t>
  </si>
  <si>
    <t>Севастьянов Артем</t>
  </si>
  <si>
    <t>ВФЧ/ШВ/У/0499</t>
  </si>
  <si>
    <t>Сібіра Даніл</t>
  </si>
  <si>
    <t>ВФЧ/ШВ/У/0500</t>
  </si>
  <si>
    <t>Бичкова Дар'я</t>
  </si>
  <si>
    <t>ВФЧ/ШВ/У/0501</t>
  </si>
  <si>
    <t>Борисюк Святослав</t>
  </si>
  <si>
    <t>ВФЧ/ШВ/У/0502</t>
  </si>
  <si>
    <t>Гесь Віталій</t>
  </si>
  <si>
    <t>ВФЧ/ШВ/У/0503</t>
  </si>
  <si>
    <t>Губін Артем</t>
  </si>
  <si>
    <t>ВФЧ/ШВ/У/0504</t>
  </si>
  <si>
    <t>Гуцалюк Владислава</t>
  </si>
  <si>
    <t>ВФЧ/ШВ/У/0505</t>
  </si>
  <si>
    <t>Динь Ярослав</t>
  </si>
  <si>
    <t>ВФЧ/ШВ/У/0506</t>
  </si>
  <si>
    <t>Камілова Єлизавета</t>
  </si>
  <si>
    <t>ВФЧ/ШВ/У/0507</t>
  </si>
  <si>
    <t>Кармазін Ілля</t>
  </si>
  <si>
    <t>ВФЧ/ШВ/У/0508</t>
  </si>
  <si>
    <t>Коденцова Дар'я</t>
  </si>
  <si>
    <t>ВФЧ/ШВ/У/0509</t>
  </si>
  <si>
    <t>Корнишов Михайло</t>
  </si>
  <si>
    <t>ВФЧ/ШВ/У/0510</t>
  </si>
  <si>
    <t>Литвиненко Тимофій</t>
  </si>
  <si>
    <t>ВФЧ/ШВ/У/0511</t>
  </si>
  <si>
    <t>Літвінов Володимир</t>
  </si>
  <si>
    <t>ВФЧ/ШВ/У/0512</t>
  </si>
  <si>
    <t>Михайлов Владислав</t>
  </si>
  <si>
    <t>ВФЧ/ШВ/У/0513</t>
  </si>
  <si>
    <t>Наумова Діана</t>
  </si>
  <si>
    <t>ВФЧ/ШВ/У/0514</t>
  </si>
  <si>
    <t>Нікітін Лев</t>
  </si>
  <si>
    <t>ВФЧ/ШВ/У/0515</t>
  </si>
  <si>
    <t>Папоян Арсен</t>
  </si>
  <si>
    <t>ВФЧ/ШВ/У/0516</t>
  </si>
  <si>
    <t>Паук Марія</t>
  </si>
  <si>
    <t>ВФЧ/ШВ/У/0517</t>
  </si>
  <si>
    <t>Посметний Володимир</t>
  </si>
  <si>
    <t>ВФЧ/ШВ/У/0518</t>
  </si>
  <si>
    <t>Примак Богдан</t>
  </si>
  <si>
    <t>ВФЧ/ШВ/У/0519</t>
  </si>
  <si>
    <t>Романюк Аліна</t>
  </si>
  <si>
    <t>ВФЧ/ШВ/У/0520</t>
  </si>
  <si>
    <t>Руда Дар'я</t>
  </si>
  <si>
    <t>ВФЧ/ШВ/У/0521</t>
  </si>
  <si>
    <t>Савченко Олександра</t>
  </si>
  <si>
    <t>ВФЧ/ШВ/У/0522</t>
  </si>
  <si>
    <t>Фетісов Данило</t>
  </si>
  <si>
    <t>ВФЧ/ШВ/У/0523</t>
  </si>
  <si>
    <t>Ханін Володимир</t>
  </si>
  <si>
    <t>ВФЧ/ШВ/У/0524</t>
  </si>
  <si>
    <t>Хмара Ауріка</t>
  </si>
  <si>
    <t>ВФЧ/ШВ/У/0525</t>
  </si>
  <si>
    <t>Чабан Мішель</t>
  </si>
  <si>
    <t>ВФЧ/ШВ/У/0526</t>
  </si>
  <si>
    <t>Чабанюк Єлизавета</t>
  </si>
  <si>
    <t>ВФЧ/ШВ/У/0527</t>
  </si>
  <si>
    <t>Шаповал Марія</t>
  </si>
  <si>
    <t>ВФЧ/ШВ/У/0528</t>
  </si>
  <si>
    <t>Шишков Олександр</t>
  </si>
  <si>
    <t>ВФЧ/ШВ/У/0529</t>
  </si>
  <si>
    <t>Криворізький ліцей №95 Криворізької міської ради</t>
  </si>
  <si>
    <t>Гавриленко Любов Іванівна</t>
  </si>
  <si>
    <t>Атемасов Кирило Євгенович</t>
  </si>
  <si>
    <t>ВФЧ/ШВ/У/0530</t>
  </si>
  <si>
    <t>Байрак Дар'я Андріївна</t>
  </si>
  <si>
    <t>ВФЧ/ШВ/У/0531</t>
  </si>
  <si>
    <t>Бараболя Павло Андрійович</t>
  </si>
  <si>
    <t>ВФЧ/ШВ/У/0532</t>
  </si>
  <si>
    <t>Бараболя петро Андрійович</t>
  </si>
  <si>
    <t>ВФЧ/ШВ/У/0533</t>
  </si>
  <si>
    <t>Батеха Артем Ігорович</t>
  </si>
  <si>
    <t>ВФЧ/ШВ/У/0534</t>
  </si>
  <si>
    <t>Бєлік Олена Романівна</t>
  </si>
  <si>
    <t>ВФЧ/ШВ/У/0535</t>
  </si>
  <si>
    <t>Білий Ярослав Артемович</t>
  </si>
  <si>
    <t>ВФЧ/ШВ/У/0536</t>
  </si>
  <si>
    <t>Бобровський Артем Андрійович</t>
  </si>
  <si>
    <t>ВФЧ/ШВ/У/0537</t>
  </si>
  <si>
    <t>Бовкун Олександр Олексійович</t>
  </si>
  <si>
    <t>ВФЧ/ШВ/У/0538</t>
  </si>
  <si>
    <t>Борисенко Єлизавета Дмитрівна</t>
  </si>
  <si>
    <t>ВФЧ/ШВ/У/0539</t>
  </si>
  <si>
    <t>Британ Костянтин Миколайович</t>
  </si>
  <si>
    <t>ВФЧ/ШВ/У/0540</t>
  </si>
  <si>
    <t>Брусько Артем Віталійович</t>
  </si>
  <si>
    <t>ВФЧ/ШВ/У/0541</t>
  </si>
  <si>
    <t>Бубирьова Дар’я Ігорівна</t>
  </si>
  <si>
    <t>ВФЧ/ШВ/У/0542</t>
  </si>
  <si>
    <t>Бурим Вікторія Олександрівна</t>
  </si>
  <si>
    <t>ВФЧ/ШВ/У/0543</t>
  </si>
  <si>
    <t>Велицян Мері Артуровна</t>
  </si>
  <si>
    <t>ВФЧ/ШВ/У/0544</t>
  </si>
  <si>
    <t>Вербицький Олександр Олександрович</t>
  </si>
  <si>
    <t>ВФЧ/ШВ/У/0545</t>
  </si>
  <si>
    <t>Вєшаєв Максим Олегович</t>
  </si>
  <si>
    <t>ВФЧ/ШВ/У/0546</t>
  </si>
  <si>
    <t>Віненцова Єва Олександрівна</t>
  </si>
  <si>
    <t>ВФЧ/ШВ/У/0547</t>
  </si>
  <si>
    <t>Владислав Ага Баракович</t>
  </si>
  <si>
    <t>ВФЧ/ШВ/У/0548</t>
  </si>
  <si>
    <t>Вовк Марина Олександрівна</t>
  </si>
  <si>
    <t>ВФЧ/ШВ/У/0549</t>
  </si>
  <si>
    <t>Волошина Вікторія Едуардівна</t>
  </si>
  <si>
    <t>ВФЧ/ШВ/У/0550</t>
  </si>
  <si>
    <t>Волошина Віра Дмитрівна</t>
  </si>
  <si>
    <t>ВФЧ/ШВ/У/0551</t>
  </si>
  <si>
    <t>Галєта Артем Олександрович</t>
  </si>
  <si>
    <t>ВФЧ/ШВ/У/0552</t>
  </si>
  <si>
    <t>Ганнота Кіра Віталіївна</t>
  </si>
  <si>
    <t>ВФЧ/ШВ/У/0553</t>
  </si>
  <si>
    <t>Глушняк Родіон Янович</t>
  </si>
  <si>
    <t>ВФЧ/ШВ/У/0554</t>
  </si>
  <si>
    <t>Головньова Дарія Дмитрівна</t>
  </si>
  <si>
    <t>ВФЧ/ШВ/У/0555</t>
  </si>
  <si>
    <t>Господаренко Давид Віталійович</t>
  </si>
  <si>
    <t>ВФЧ/ШВ/У/0556</t>
  </si>
  <si>
    <t>Грудєв Макар Андрійович</t>
  </si>
  <si>
    <t>ВФЧ/ШВ/У/0557</t>
  </si>
  <si>
    <t>Гук Артур Романович</t>
  </si>
  <si>
    <t>ВФЧ/ШВ/У/0558</t>
  </si>
  <si>
    <t>Гуменюк Єгор Сергійович</t>
  </si>
  <si>
    <t>ВФЧ/ШВ/У/0559</t>
  </si>
  <si>
    <t>Гуревич Єлизавета Олександрівна</t>
  </si>
  <si>
    <t>ВФЧ/ШВ/У/0560</t>
  </si>
  <si>
    <t>Гусакова Дарʼя Олександрівна</t>
  </si>
  <si>
    <t>ВФЧ/ШВ/У/0561</t>
  </si>
  <si>
    <t>Данильченко Олексій Сергійович</t>
  </si>
  <si>
    <t>ВФЧ/ШВ/У/0562</t>
  </si>
  <si>
    <t>Демченко Анна Сергіївна</t>
  </si>
  <si>
    <t>ВФЧ/ШВ/У/0563</t>
  </si>
  <si>
    <t>Демченко Максим Сергійович</t>
  </si>
  <si>
    <t>ВФЧ/ШВ/У/0564</t>
  </si>
  <si>
    <t>Добрянський Тихон Сергійович</t>
  </si>
  <si>
    <t>ВФЧ/ШВ/У/0565</t>
  </si>
  <si>
    <t>Дубовіков Михайло Михайлович</t>
  </si>
  <si>
    <t>ВФЧ/ШВ/У/0566</t>
  </si>
  <si>
    <t>Євченко Анна Сергіївна</t>
  </si>
  <si>
    <t>ВФЧ/ШВ/У/0567</t>
  </si>
  <si>
    <t>Журавель Вероніка Андріївна</t>
  </si>
  <si>
    <t>ВФЧ/ШВ/У/0568</t>
  </si>
  <si>
    <t>Замотаєв Артем Андрійович</t>
  </si>
  <si>
    <t>ВФЧ/ШВ/У/0569</t>
  </si>
  <si>
    <t>Захаренко Богдан Ростиславович</t>
  </si>
  <si>
    <t>ВФЧ/ШВ/У/0570</t>
  </si>
  <si>
    <t>Зубко Аріна Андріївна</t>
  </si>
  <si>
    <t>ВФЧ/ШВ/У/0571</t>
  </si>
  <si>
    <t>Зубко Кристина Ігорівна</t>
  </si>
  <si>
    <t>ВФЧ/ШВ/У/0572</t>
  </si>
  <si>
    <t>Іванов Матвій Вікторович</t>
  </si>
  <si>
    <t>ВФЧ/ШВ/У/0573</t>
  </si>
  <si>
    <t>Ілюшин Назар Денисович</t>
  </si>
  <si>
    <t>ВФЧ/ШВ/У/0574</t>
  </si>
  <si>
    <t>Іонкова Елла Олександрівна</t>
  </si>
  <si>
    <t>ВФЧ/ШВ/У/0575</t>
  </si>
  <si>
    <t>Калач Дар'я Олександрівна</t>
  </si>
  <si>
    <t>ВФЧ/ШВ/У/0576</t>
  </si>
  <si>
    <t>Калінчук Денис Дмитрович</t>
  </si>
  <si>
    <t>ВФЧ/ШВ/У/0577</t>
  </si>
  <si>
    <t>Капінус Ярослав Сергійович</t>
  </si>
  <si>
    <t>ВФЧ/ШВ/У/0578</t>
  </si>
  <si>
    <t>Катіхлієв Ростислав Максимович</t>
  </si>
  <si>
    <t>ВФЧ/ШВ/У/0579</t>
  </si>
  <si>
    <t>Кащеев Микола Олексійович</t>
  </si>
  <si>
    <t>ВФЧ/ШВ/У/0580</t>
  </si>
  <si>
    <t>Кирилюк Андрій Андрійович</t>
  </si>
  <si>
    <t>ВФЧ/ШВ/У/0581</t>
  </si>
  <si>
    <t>Кладіков Єлісей Максимович</t>
  </si>
  <si>
    <t>ВФЧ/ШВ/У/0582</t>
  </si>
  <si>
    <t>Кобзєва Каріна Олександрівна</t>
  </si>
  <si>
    <t>ВФЧ/ШВ/У/0583</t>
  </si>
  <si>
    <t>Ковалевська Софія Сергіївна</t>
  </si>
  <si>
    <t>ВФЧ/ШВ/У/0584</t>
  </si>
  <si>
    <t>Коваль Роман Ігорович</t>
  </si>
  <si>
    <t>ВФЧ/ШВ/У/0585</t>
  </si>
  <si>
    <t>Ковеза Марія Русланівна</t>
  </si>
  <si>
    <t>ВФЧ/ШВ/У/0586</t>
  </si>
  <si>
    <t>Комаров Олександр Миколайович</t>
  </si>
  <si>
    <t>ВФЧ/ШВ/У/0587</t>
  </si>
  <si>
    <t>Коростій Ілона В‘ячеславівна</t>
  </si>
  <si>
    <t>ВФЧ/ШВ/У/0588</t>
  </si>
  <si>
    <t>Корюкова Вікторія Сергіївна</t>
  </si>
  <si>
    <t>ВФЧ/ШВ/У/0589</t>
  </si>
  <si>
    <t>Крижановський Роман В'ячеславович</t>
  </si>
  <si>
    <t>ВФЧ/ШВ/У/0590</t>
  </si>
  <si>
    <t>Кубайчук Анастасія Михайлівна</t>
  </si>
  <si>
    <t>ВФЧ/ШВ/У/0591</t>
  </si>
  <si>
    <t>Кукреш Данило Олександр</t>
  </si>
  <si>
    <t>ВФЧ/ШВ/У/0592</t>
  </si>
  <si>
    <t>Кучеренко Станіслав Юрійович</t>
  </si>
  <si>
    <t>ВФЧ/ШВ/У/0593</t>
  </si>
  <si>
    <t>Лашкун Анастасія Сергіївна</t>
  </si>
  <si>
    <t>ВФЧ/ШВ/У/0594</t>
  </si>
  <si>
    <t>Ледащева Маргарита Іванівна</t>
  </si>
  <si>
    <t>ВФЧ/ШВ/У/0595</t>
  </si>
  <si>
    <t>Леонов Владислав Олегович</t>
  </si>
  <si>
    <t>ВФЧ/ШВ/У/0596</t>
  </si>
  <si>
    <t>Луковцев Сергій Олександрович</t>
  </si>
  <si>
    <t>ВФЧ/ШВ/У/0597</t>
  </si>
  <si>
    <t>Люта Віталіна Сергіївна</t>
  </si>
  <si>
    <t>ВФЧ/ШВ/У/0598</t>
  </si>
  <si>
    <t>Малоіван Євгенія Олександрівна</t>
  </si>
  <si>
    <t>ВФЧ/ШВ/У/0599</t>
  </si>
  <si>
    <t>Марченко Марія Сергіївна</t>
  </si>
  <si>
    <t>ВФЧ/ШВ/У/0600</t>
  </si>
  <si>
    <t>Матвійчук Артур Юрійович</t>
  </si>
  <si>
    <t>ВФЧ/ШВ/У/0601</t>
  </si>
  <si>
    <t>Матвійчук Наталія Юріївна</t>
  </si>
  <si>
    <t>ВФЧ/ШВ/У/0602</t>
  </si>
  <si>
    <t>Мацюк Станіслав Євгенійович</t>
  </si>
  <si>
    <t>ВФЧ/ШВ/У/0603</t>
  </si>
  <si>
    <t>Миколюк Анастасія Романівна</t>
  </si>
  <si>
    <t>ВФЧ/ШВ/У/0604</t>
  </si>
  <si>
    <t>Митюк Лев Русланович</t>
  </si>
  <si>
    <t>ВФЧ/ШВ/У/0605</t>
  </si>
  <si>
    <t>Морозов Ігор Дмитрович</t>
  </si>
  <si>
    <t>ВФЧ/ШВ/У/0606</t>
  </si>
  <si>
    <t>Морозова Анастасія Тимофіївна</t>
  </si>
  <si>
    <t>ВФЧ/ШВ/У/0607</t>
  </si>
  <si>
    <t>Нагаєць Ірина Сергіївна</t>
  </si>
  <si>
    <t>ВФЧ/ШВ/У/0608</t>
  </si>
  <si>
    <t>Новосад Софія Сергіївна</t>
  </si>
  <si>
    <t>ВФЧ/ШВ/У/0609</t>
  </si>
  <si>
    <t>Огур Ярослава Романівна</t>
  </si>
  <si>
    <t>ВФЧ/ШВ/У/0610</t>
  </si>
  <si>
    <t>Олексюк Марк Вячеславович</t>
  </si>
  <si>
    <t>ВФЧ/ШВ/У/0611</t>
  </si>
  <si>
    <t>Олійник Олександр Владиславович</t>
  </si>
  <si>
    <t>ВФЧ/ШВ/У/0612</t>
  </si>
  <si>
    <t>Омелʼяненко Катерина Сергіївна</t>
  </si>
  <si>
    <t>ВФЧ/ШВ/У/0613</t>
  </si>
  <si>
    <t>Онацька Анастасія Андріївна</t>
  </si>
  <si>
    <t>ВФЧ/ШВ/У/0614</t>
  </si>
  <si>
    <t>Онищик Владислав Юрійович</t>
  </si>
  <si>
    <t>ВФЧ/ШВ/У/0615</t>
  </si>
  <si>
    <t>Оприщенко Єлизавета Максимівна</t>
  </si>
  <si>
    <t>ВФЧ/ШВ/У/0616</t>
  </si>
  <si>
    <t>Охріменко Олександр Євгенович</t>
  </si>
  <si>
    <t>ВФЧ/ШВ/У/0617</t>
  </si>
  <si>
    <t>Паш Вікторія Василівна</t>
  </si>
  <si>
    <t>ВФЧ/ШВ/У/0618</t>
  </si>
  <si>
    <t>Пеня Діана Антонівна</t>
  </si>
  <si>
    <t>ВФЧ/ШВ/У/0619</t>
  </si>
  <si>
    <t>Позняков Олександр Андрійович</t>
  </si>
  <si>
    <t>ВФЧ/ШВ/У/0620</t>
  </si>
  <si>
    <t>Приставка Арсеній Романович</t>
  </si>
  <si>
    <t>ВФЧ/ШВ/У/0621</t>
  </si>
  <si>
    <t>Прядко Анастасія Дмитрівна</t>
  </si>
  <si>
    <t>ВФЧ/ШВ/У/0622</t>
  </si>
  <si>
    <t>Ракітська Поліна Олександрівна</t>
  </si>
  <si>
    <t>ВФЧ/ШВ/У/0623</t>
  </si>
  <si>
    <t>Рижиков Єгор Васильович</t>
  </si>
  <si>
    <t>ВФЧ/ШВ/У/0624</t>
  </si>
  <si>
    <t>Роговська Вікторія Юріївна</t>
  </si>
  <si>
    <t>ВФЧ/ШВ/У/0625</t>
  </si>
  <si>
    <t>Рябіченко Вікторія Максимівна</t>
  </si>
  <si>
    <t>ВФЧ/ШВ/У/0626</t>
  </si>
  <si>
    <t>Рябко Ксенія Кирилівна</t>
  </si>
  <si>
    <t>ВФЧ/ШВ/У/0627</t>
  </si>
  <si>
    <t>Рясний Артем Денисович</t>
  </si>
  <si>
    <t>ВФЧ/ШВ/У/0628</t>
  </si>
  <si>
    <t>Савельєва Анастасія Вікторівна</t>
  </si>
  <si>
    <t>ВФЧ/ШВ/У/0629</t>
  </si>
  <si>
    <t>Савостьяненко Давид Сергійович</t>
  </si>
  <si>
    <t>ВФЧ/ШВ/У/0630</t>
  </si>
  <si>
    <t>Сєтракова Кіра Олександрівна</t>
  </si>
  <si>
    <t>ВФЧ/ШВ/У/0631</t>
  </si>
  <si>
    <t>Сивожелєзова Катерина Вячеславівна</t>
  </si>
  <si>
    <t>ВФЧ/ШВ/У/0632</t>
  </si>
  <si>
    <t>Скакун Марія Сергіївна</t>
  </si>
  <si>
    <t>ВФЧ/ШВ/У/0633</t>
  </si>
  <si>
    <t>Сніжко Сніжана Олександрівна</t>
  </si>
  <si>
    <t>ВФЧ/ШВ/У/0634</t>
  </si>
  <si>
    <t>Сокуренко Валерія Владиславівна</t>
  </si>
  <si>
    <t>ВФЧ/ШВ/У/0635</t>
  </si>
  <si>
    <t>Сокуренко Дар'я  Дмитрівна</t>
  </si>
  <si>
    <t>ВФЧ/ШВ/У/0636</t>
  </si>
  <si>
    <t>Соловей Гліб Миколайович</t>
  </si>
  <si>
    <t>ВФЧ/ШВ/У/0637</t>
  </si>
  <si>
    <t>Степура Данило Ігорович</t>
  </si>
  <si>
    <t>ВФЧ/ШВ/У/0638</t>
  </si>
  <si>
    <t>Страдомський Гліб Володимирович</t>
  </si>
  <si>
    <t>ВФЧ/ШВ/У/0639</t>
  </si>
  <si>
    <t>Супрун Ігор Олександрович</t>
  </si>
  <si>
    <t>ВФЧ/ШВ/У/0640</t>
  </si>
  <si>
    <t>Тарасенко Анна Олександрівна</t>
  </si>
  <si>
    <t>ВФЧ/ШВ/У/0641</t>
  </si>
  <si>
    <t>Татаров Кирило Олександрович</t>
  </si>
  <si>
    <t>ВФЧ/ШВ/У/0642</t>
  </si>
  <si>
    <t>Темній Глафіра Андріївна</t>
  </si>
  <si>
    <t>ВФЧ/ШВ/У/0643</t>
  </si>
  <si>
    <t>Теселько Поліна Костянтинівна</t>
  </si>
  <si>
    <t>ВФЧ/ШВ/У/0644</t>
  </si>
  <si>
    <t>Тишковець Кароліна Олександрівна</t>
  </si>
  <si>
    <t>ВФЧ/ШВ/У/0645</t>
  </si>
  <si>
    <t>Ткач Андрій Олександрович</t>
  </si>
  <si>
    <t>ВФЧ/ШВ/У/0646</t>
  </si>
  <si>
    <t>Фотенко Анна Олегівна</t>
  </si>
  <si>
    <t>ВФЧ/ШВ/У/0647</t>
  </si>
  <si>
    <t>Черняєв Андрій Андрійович</t>
  </si>
  <si>
    <t>ВФЧ/ШВ/У/0648</t>
  </si>
  <si>
    <t>Чуманов Іван Олегович</t>
  </si>
  <si>
    <t>ВФЧ/ШВ/У/0649</t>
  </si>
  <si>
    <t>Чумаченко Марія Олександрівна</t>
  </si>
  <si>
    <t>ВФЧ/ШВ/У/0650</t>
  </si>
  <si>
    <t>Чура Дар’я Артемівна</t>
  </si>
  <si>
    <t>ВФЧ/ШВ/У/0651</t>
  </si>
  <si>
    <t>Чураєв Давид Георгієвич</t>
  </si>
  <si>
    <t>ВФЧ/ШВ/У/0652</t>
  </si>
  <si>
    <t>Шаповал Дар'я Олександрівна</t>
  </si>
  <si>
    <t>ВФЧ/ШВ/У/0653</t>
  </si>
  <si>
    <t>Шевченко Софія Романівна</t>
  </si>
  <si>
    <t>ВФЧ/ШВ/У/0654</t>
  </si>
  <si>
    <t>Шевчук Ярослав Ігорович</t>
  </si>
  <si>
    <t>ВФЧ/ШВ/У/0655</t>
  </si>
  <si>
    <t>Шилак Дар'я Олександрівна</t>
  </si>
  <si>
    <t>ВФЧ/ШВ/У/0656</t>
  </si>
  <si>
    <t>Шипілов Марко Сергійович</t>
  </si>
  <si>
    <t>ВФЧ/ШВ/У/0657</t>
  </si>
  <si>
    <t>Штаюра Марія Павлівна</t>
  </si>
  <si>
    <t>ВФЧ/ШВ/У/0658</t>
  </si>
  <si>
    <t>Яхимець Софія Сергіївна</t>
  </si>
  <si>
    <t>ВФЧ/ШВ/У/0659</t>
  </si>
  <si>
    <t>Яцишин Тимофій Костянтинович</t>
  </si>
  <si>
    <t>ВФЧ/ШВ/У/0660</t>
  </si>
  <si>
    <t>Криворізький природничо-науковий ліцей</t>
  </si>
  <si>
    <t>Герун Марія Іванівна</t>
  </si>
  <si>
    <t>Романовська Вісена Євгенівна</t>
  </si>
  <si>
    <t>ВФЧ/ШВ/У/0661</t>
  </si>
  <si>
    <t>Книгницький Андрій Сергійович</t>
  </si>
  <si>
    <t>ВФЧ/ШВ/У/0662</t>
  </si>
  <si>
    <t>Висоцький Пересвєт Володимирович</t>
  </si>
  <si>
    <t>ВФЧ/ШВ/У/0663</t>
  </si>
  <si>
    <t>Журавльов Сергій Денисович</t>
  </si>
  <si>
    <t>ВФЧ/ШВ/У/0664</t>
  </si>
  <si>
    <t>Сєргєєв Єгор Дмитрович</t>
  </si>
  <si>
    <t>ВФЧ/ШВ/У/0665</t>
  </si>
  <si>
    <t>Харченко Олександр Вадимович</t>
  </si>
  <si>
    <t>ВФЧ/ШВ/У/0666</t>
  </si>
  <si>
    <t>Клименко Крістіна Віталіївна</t>
  </si>
  <si>
    <t>ВФЧ/ШВ/У/0667</t>
  </si>
  <si>
    <t>Сірик Олеся Геннадіївна</t>
  </si>
  <si>
    <t>ВФЧ/ШВ/У/0668</t>
  </si>
  <si>
    <t>Рутвян Ян  Олегович</t>
  </si>
  <si>
    <t>ВФЧ/ШВ/У/0669</t>
  </si>
  <si>
    <t>Войналовий Анна Павлівна</t>
  </si>
  <si>
    <t>ВФЧ/ШВ/У/0670</t>
  </si>
  <si>
    <t>В'ялих Аліса Володимирівна</t>
  </si>
  <si>
    <t>ВФЧ/ШВ/У/0671</t>
  </si>
  <si>
    <t>Сосна Вікторія Сергіївна</t>
  </si>
  <si>
    <t>ВФЧ/ШВ/У/0672</t>
  </si>
  <si>
    <t>Охотніков Олександр Дмитрович</t>
  </si>
  <si>
    <t>ВФЧ/ШВ/У/0673</t>
  </si>
  <si>
    <t>Золототруб Єлизавета Русланівна</t>
  </si>
  <si>
    <t>ВФЧ/ШВ/У/0674</t>
  </si>
  <si>
    <t>Удовіченко Дар'я Денисівна</t>
  </si>
  <si>
    <t>ВФЧ/ШВ/У/0675</t>
  </si>
  <si>
    <t>Кунах Анастасія Олександрівна</t>
  </si>
  <si>
    <t>ВФЧ/ШВ/У/0676</t>
  </si>
  <si>
    <t>Герула Валерія Сергіївна</t>
  </si>
  <si>
    <t>ВФЧ/ШВ/У/0677</t>
  </si>
  <si>
    <t>Бєлов Олександр Олександрович</t>
  </si>
  <si>
    <t>ВФЧ/ШВ/У/0678</t>
  </si>
  <si>
    <t>Козлова Карина Олегівна</t>
  </si>
  <si>
    <t>ВФЧ/ШВ/У/0679</t>
  </si>
  <si>
    <t>Овадюк Поліна Олегівна</t>
  </si>
  <si>
    <t>ВФЧ/ШВ/У/0680</t>
  </si>
  <si>
    <t>Довгаль Дмитро Юрійович</t>
  </si>
  <si>
    <t>ВФЧ/ШВ/У/0681</t>
  </si>
  <si>
    <t>Савчук Аліна Олександрівна</t>
  </si>
  <si>
    <t>ВФЧ/ШВ/У/0682</t>
  </si>
  <si>
    <t>Кедря Аліна Миколаївна</t>
  </si>
  <si>
    <t>ВФЧ/ШВ/У/0683</t>
  </si>
  <si>
    <t>Гололобова Марія Олегівна</t>
  </si>
  <si>
    <t>ВФЧ/ШВ/У/0684</t>
  </si>
  <si>
    <t>Дніпровський ліцей 91 Дніпровської міської ради</t>
  </si>
  <si>
    <t>Глущук Валентина Михайлівна</t>
  </si>
  <si>
    <t>Білоклонь Ангеліна Олександрівна</t>
  </si>
  <si>
    <t>ВФЧ/ШВ/У/0685</t>
  </si>
  <si>
    <t>Бірюкова Дана Артемівна</t>
  </si>
  <si>
    <t>ВФЧ/ШВ/У/0686</t>
  </si>
  <si>
    <t>Бірюкова Ніка Артемівна</t>
  </si>
  <si>
    <t>ВФЧ/ШВ/У/0687</t>
  </si>
  <si>
    <t>Борлова Мирослава Віталіївна</t>
  </si>
  <si>
    <t>ВФЧ/ШВ/У/0688</t>
  </si>
  <si>
    <t>Варяничко Софья Олександрівна</t>
  </si>
  <si>
    <t>ВФЧ/ШВ/У/0689</t>
  </si>
  <si>
    <t>Гаркавенко Максим Андрійович</t>
  </si>
  <si>
    <t>ВФЧ/ШВ/У/0690</t>
  </si>
  <si>
    <t>Лоян Артем Володимирович</t>
  </si>
  <si>
    <t>ВФЧ/ШВ/У/0691</t>
  </si>
  <si>
    <t>Міхайлова Уляна Віталіївна</t>
  </si>
  <si>
    <t>ВФЧ/ШВ/У/0692</t>
  </si>
  <si>
    <t>Мозгова Ксенія Максимівна</t>
  </si>
  <si>
    <t>ВФЧ/ШВ/У/0693</t>
  </si>
  <si>
    <t>Паньчак Денис Владиславович</t>
  </si>
  <si>
    <t>ВФЧ/ШВ/У/0694</t>
  </si>
  <si>
    <t>Понарин Владислав Олександрович</t>
  </si>
  <si>
    <t>ВФЧ/ШВ/У/0695</t>
  </si>
  <si>
    <t>Січков Дмитро Дмитрович</t>
  </si>
  <si>
    <t>ВФЧ/ШВ/У/0696</t>
  </si>
  <si>
    <t>Тараненко Володимир Миколайович</t>
  </si>
  <si>
    <t>ВФЧ/ШВ/У/0697</t>
  </si>
  <si>
    <t>Шевцова Валерія Віталіївна</t>
  </si>
  <si>
    <t>ВФЧ/ШВ/У/0698</t>
  </si>
  <si>
    <t>Криворізький ліцей "Кредо" Криворізької міської ради</t>
  </si>
  <si>
    <t>Грибанова Олена Василівна</t>
  </si>
  <si>
    <t>Андрусевич Анастасія Володимирівна</t>
  </si>
  <si>
    <t>ВФЧ/ШВ/У/0699</t>
  </si>
  <si>
    <t>Бортник Віолета Андріївна</t>
  </si>
  <si>
    <t>ВФЧ/ШВ/У/0700</t>
  </si>
  <si>
    <t>Бугаєнко Аріна Олексіївна</t>
  </si>
  <si>
    <t>ВФЧ/ШВ/У/0701</t>
  </si>
  <si>
    <t>Гутовська Марія Леонідівна</t>
  </si>
  <si>
    <t>ВФЧ/ШВ/У/0702</t>
  </si>
  <si>
    <t>Дзюба Анастасія Вікторівна</t>
  </si>
  <si>
    <t>ВФЧ/ШВ/У/0703</t>
  </si>
  <si>
    <t>Коцюбко Поліна Русланівна</t>
  </si>
  <si>
    <t>ВФЧ/ШВ/У/0704</t>
  </si>
  <si>
    <t>Маркіна Марія Олександрівна</t>
  </si>
  <si>
    <t>ВФЧ/ШВ/У/0705</t>
  </si>
  <si>
    <t>Олексова Тетяна Романівна</t>
  </si>
  <si>
    <t>ВФЧ/ШВ/У/0706</t>
  </si>
  <si>
    <t>Онофрієнко Назар Сергійович</t>
  </si>
  <si>
    <t>ВФЧ/ШВ/У/0707</t>
  </si>
  <si>
    <t>Пігалов Денис Іванович</t>
  </si>
  <si>
    <t>ВФЧ/ШВ/У/0708</t>
  </si>
  <si>
    <t>Пісклювова Аліна Сергіївна</t>
  </si>
  <si>
    <t>ВФЧ/ШВ/У/0709</t>
  </si>
  <si>
    <t>Попроцький Максим Олегович</t>
  </si>
  <si>
    <t>ВФЧ/ШВ/У/0710</t>
  </si>
  <si>
    <t>Романенко Браїн Денисович</t>
  </si>
  <si>
    <t>ВФЧ/ШВ/У/0711</t>
  </si>
  <si>
    <t>Суздаль Ніколь Микитівна</t>
  </si>
  <si>
    <t>ВФЧ/ШВ/У/0712</t>
  </si>
  <si>
    <t>Черв’яченко Єва Віталіївна</t>
  </si>
  <si>
    <t>ВФЧ/ШВ/У/0713</t>
  </si>
  <si>
    <t>Довбиш Дмитро Андрійович</t>
  </si>
  <si>
    <t>ВФЧ/ШВ/У/0714</t>
  </si>
  <si>
    <t>Криворізький ліцей №71 КМР</t>
  </si>
  <si>
    <t>Гудзь Ніна Василівна</t>
  </si>
  <si>
    <t>Бабаєв Єгор Ілліч</t>
  </si>
  <si>
    <t>ВФЧ/ШВ/У/0715</t>
  </si>
  <si>
    <t>Булига Дмитро</t>
  </si>
  <si>
    <t>ВФЧ/ШВ/У/0716</t>
  </si>
  <si>
    <t>Гебель Владислав Віталійович</t>
  </si>
  <si>
    <t>ВФЧ/ШВ/У/0717</t>
  </si>
  <si>
    <t>Гриненко Анна Сергіївна</t>
  </si>
  <si>
    <t>ВФЧ/ШВ/У/0718</t>
  </si>
  <si>
    <t>Гула Кіра Артемівна</t>
  </si>
  <si>
    <t>ВФЧ/ШВ/У/0719</t>
  </si>
  <si>
    <t>Дериченко Олена Максмівна</t>
  </si>
  <si>
    <t>ВФЧ/ШВ/У/0720</t>
  </si>
  <si>
    <t>Загрива Арина Олександрівна</t>
  </si>
  <si>
    <t>ВФЧ/ШВ/У/0721</t>
  </si>
  <si>
    <t>Козлова Катерина Андріївна</t>
  </si>
  <si>
    <t>ВФЧ/ШВ/У/0722</t>
  </si>
  <si>
    <t>Коржова Софія Андріївна</t>
  </si>
  <si>
    <t>ВФЧ/ШВ/У/0723</t>
  </si>
  <si>
    <t>Майдибура Владислава Олександрiвна</t>
  </si>
  <si>
    <t>ВФЧ/ШВ/У/0724</t>
  </si>
  <si>
    <t>Приходько Настя Юріївна</t>
  </si>
  <si>
    <t>ВФЧ/ШВ/У/0725</t>
  </si>
  <si>
    <t>Ратушний Владислав Адрійович</t>
  </si>
  <si>
    <t>ВФЧ/ШВ/У/0726</t>
  </si>
  <si>
    <t>Статівка Дмитро</t>
  </si>
  <si>
    <t>ВФЧ/ШВ/У/0727</t>
  </si>
  <si>
    <t>Тарарощенко Дмитро Андрійович</t>
  </si>
  <si>
    <t>ВФЧ/ШВ/У/0728</t>
  </si>
  <si>
    <t>Хавренко Дар'я Віталіївна</t>
  </si>
  <si>
    <t>ВФЧ/ШВ/У/0729</t>
  </si>
  <si>
    <t>Черноус Тимофій</t>
  </si>
  <si>
    <t>ВФЧ/ШВ/У/0730</t>
  </si>
  <si>
    <t>Чорна Єлизавета Сергіївна</t>
  </si>
  <si>
    <t>ВФЧ/ШВ/У/0731</t>
  </si>
  <si>
    <t>Шипош Артем Максимович</t>
  </si>
  <si>
    <t>ВФЧ/ШВ/У/0732</t>
  </si>
  <si>
    <t>Єпішина Віталіна Віталіївна</t>
  </si>
  <si>
    <t>ВФЧ/ШВ/У/0733</t>
  </si>
  <si>
    <t>Єрмак Марія Сергіївна</t>
  </si>
  <si>
    <t>ВФЧ/ШВ/У/0734</t>
  </si>
  <si>
    <t>Кислякова Євгенія Олександрівна</t>
  </si>
  <si>
    <t>ВФЧ/ШВ/У/0735</t>
  </si>
  <si>
    <t>Ковальчук Поліна Романівна</t>
  </si>
  <si>
    <t>ВФЧ/ШВ/У/0736</t>
  </si>
  <si>
    <t>Митрофанова Анастасія Вадимівна</t>
  </si>
  <si>
    <t>ВФЧ/ШВ/У/0737</t>
  </si>
  <si>
    <t>Першута Діана Володимирівна</t>
  </si>
  <si>
    <t>ВФЧ/ШВ/У/0738</t>
  </si>
  <si>
    <t>Посипай Софія Вадимівна</t>
  </si>
  <si>
    <t>ВФЧ/ШВ/У/0739</t>
  </si>
  <si>
    <t>Соловей Марія</t>
  </si>
  <si>
    <t>ВФЧ/ШВ/У/0740</t>
  </si>
  <si>
    <t>Столярчук Софія Сергіївна</t>
  </si>
  <si>
    <t>ВФЧ/ШВ/У/0741</t>
  </si>
  <si>
    <t>Федоренко Віталіна Віталіївна</t>
  </si>
  <si>
    <t>ВФЧ/ШВ/У/0742</t>
  </si>
  <si>
    <t>Шатковська Єлизавета</t>
  </si>
  <si>
    <t>ВФЧ/ШВ/У/0743</t>
  </si>
  <si>
    <t>Гай Єлизавета Віталіївна</t>
  </si>
  <si>
    <t>ВФЧ/ШВ/У/0744</t>
  </si>
  <si>
    <t>Герасименко Оксана Олександрівна </t>
  </si>
  <si>
    <t>ВФЧ/ШВ/У/0745</t>
  </si>
  <si>
    <t>Горбашова Дарина</t>
  </si>
  <si>
    <t>ВФЧ/ШВ/У/0746</t>
  </si>
  <si>
    <t>Гриб Анна В’ячеславівна</t>
  </si>
  <si>
    <t>ВФЧ/ШВ/У/0747</t>
  </si>
  <si>
    <t>Гринюк Наталія Сергіївна</t>
  </si>
  <si>
    <t>ВФЧ/ШВ/У/0748</t>
  </si>
  <si>
    <t>Дец Маргарита Олександрівна</t>
  </si>
  <si>
    <t>ВФЧ/ШВ/У/0749</t>
  </si>
  <si>
    <t>Дніпровський ліцей № 31 "Пріоритет"  ДМР</t>
  </si>
  <si>
    <t>Дядькова Людмила Михайлівна</t>
  </si>
  <si>
    <t>Штиканов Арсеній Артемович</t>
  </si>
  <si>
    <t>ВФЧ/ШВ/У/0750</t>
  </si>
  <si>
    <t>Гулівець Олександра Олексіївна</t>
  </si>
  <si>
    <t>ВФЧ/ШВ/У/0751</t>
  </si>
  <si>
    <t>Дзюба Назар Сергійович</t>
  </si>
  <si>
    <t>ВФЧ/ШВ/У/0752</t>
  </si>
  <si>
    <t>Кандиба Анастасія Юріївна</t>
  </si>
  <si>
    <t>ВФЧ/ШВ/У/0753</t>
  </si>
  <si>
    <t>Халамай Станіслав Сергійович</t>
  </si>
  <si>
    <t>ВФЧ/ШВ/У/0754</t>
  </si>
  <si>
    <t>Марченко Поліна Сергіївна</t>
  </si>
  <si>
    <t>ВФЧ/ШВ/У/0755</t>
  </si>
  <si>
    <t>КЗО "Криворізький ліцей "Гранд" ДОР"</t>
  </si>
  <si>
    <t>Копилєв Олександр Анатолійович</t>
  </si>
  <si>
    <t>Атаманчук Данило Олександрович</t>
  </si>
  <si>
    <t>ВФЧ/ШВ/У/0756</t>
  </si>
  <si>
    <t>Баєва Дарина Євгенівна</t>
  </si>
  <si>
    <t>ВФЧ/ШВ/У/0757</t>
  </si>
  <si>
    <t>Гіоргадзе Софія Бадрівна</t>
  </si>
  <si>
    <t>ВФЧ/ШВ/У/0758</t>
  </si>
  <si>
    <t>Голенко Андрій Дмитрович</t>
  </si>
  <si>
    <t>ВФЧ/ШВ/У/0759</t>
  </si>
  <si>
    <t>Дорофеєва Марія Костянтинівна</t>
  </si>
  <si>
    <t>ВФЧ/ШВ/У/0760</t>
  </si>
  <si>
    <t>Єфремов Костянтин Сергійович</t>
  </si>
  <si>
    <t>ВФЧ/ШВ/У/0761</t>
  </si>
  <si>
    <t>Клімчук Софія Ростиславівна</t>
  </si>
  <si>
    <t>ВФЧ/ШВ/У/0762</t>
  </si>
  <si>
    <t>Лук’яненко Олександр Дмитрович</t>
  </si>
  <si>
    <t>ВФЧ/ШВ/У/0763</t>
  </si>
  <si>
    <t>Ніца Владислав Дмитрович</t>
  </si>
  <si>
    <t>ВФЧ/ШВ/У/0764</t>
  </si>
  <si>
    <t>Осіпова Катерина Максимівна</t>
  </si>
  <si>
    <t>ВФЧ/ШВ/У/0765</t>
  </si>
  <si>
    <t>Прокопчук Дар’я Віталіївна</t>
  </si>
  <si>
    <t>ВФЧ/ШВ/У/0766</t>
  </si>
  <si>
    <t>Слюзко Мирослав Олегович</t>
  </si>
  <si>
    <t>ВФЧ/ШВ/У/0767</t>
  </si>
  <si>
    <t>Українець Антон Юрійович</t>
  </si>
  <si>
    <t>ВФЧ/ШВ/У/0768</t>
  </si>
  <si>
    <t>Яровий Олексій Васильович</t>
  </si>
  <si>
    <t>ВФЧ/ШВ/У/0769</t>
  </si>
  <si>
    <t>Дніпровський ліцей № 3 Дніпровської міської ради</t>
  </si>
  <si>
    <t>Кравченко Оксана Василівна</t>
  </si>
  <si>
    <t>Литвицький Олексій Дмитрович</t>
  </si>
  <si>
    <t>ВФЧ/ШВ/У/0770</t>
  </si>
  <si>
    <t>Михайличенко Софія Михайлівна</t>
  </si>
  <si>
    <t>ВФЧ/ШВ/У/0771</t>
  </si>
  <si>
    <t>Назаренко Дар’я Генадіївна</t>
  </si>
  <si>
    <t>ВФЧ/ШВ/У/0772</t>
  </si>
  <si>
    <t>Терновий Ярослав Костянтинович</t>
  </si>
  <si>
    <t>ВФЧ/ШВ/У/0773</t>
  </si>
  <si>
    <t>Філімончук Даніїл Андрійович</t>
  </si>
  <si>
    <t>ВФЧ/ШВ/У/0774</t>
  </si>
  <si>
    <t>Дніпровський ліцей № 36 Дніпровської міської ради</t>
  </si>
  <si>
    <t>Кравченко Олена Валентинівна</t>
  </si>
  <si>
    <t>Гароцька Влада Олегівна</t>
  </si>
  <si>
    <t>ВФЧ/ШВ/У/0775</t>
  </si>
  <si>
    <t>Іваніна Поліна Павлівна</t>
  </si>
  <si>
    <t>ВФЧ/ШВ/У/0776</t>
  </si>
  <si>
    <t>Іванов Микита Олександрович</t>
  </si>
  <si>
    <t>ВФЧ/ШВ/У/0777</t>
  </si>
  <si>
    <t>Остроушков Кирило Денисович</t>
  </si>
  <si>
    <t>ВФЧ/ШВ/У/0778</t>
  </si>
  <si>
    <t>Писарєва Аліна Дмитрівна</t>
  </si>
  <si>
    <t>ВФЧ/ШВ/У/0779</t>
  </si>
  <si>
    <t>Прокопенко Тимофій Сергійович</t>
  </si>
  <si>
    <t>ВФЧ/ШВ/У/0780</t>
  </si>
  <si>
    <t>Рубан Мілєна Арсентіївна</t>
  </si>
  <si>
    <t>ВФЧ/ШВ/У/0781</t>
  </si>
  <si>
    <t>Сітковська Анастасія Олександрівна</t>
  </si>
  <si>
    <t>ВФЧ/ШВ/У/0782</t>
  </si>
  <si>
    <t>Сосницький Микита Костянтинович</t>
  </si>
  <si>
    <t>ВФЧ/ШВ/У/0783</t>
  </si>
  <si>
    <t>Шеховцева Надія Вікторівна</t>
  </si>
  <si>
    <t>ВФЧ/ШВ/У/0784</t>
  </si>
  <si>
    <t>Панарина Владислава Володимирівна</t>
  </si>
  <si>
    <t>ВФЧ/ШВ/У/0785</t>
  </si>
  <si>
    <t>Комунальний заклад освіти «Криворізький ліцей «Джерело» Дніпропетровської обласної ради»</t>
  </si>
  <si>
    <t>Кукушкін Максим Вікторович, Алєксєєнко Анастасія Володимирівна</t>
  </si>
  <si>
    <t>Бинзарь Андрій Сергійович</t>
  </si>
  <si>
    <t>ВФЧ/ШВ/У/0786</t>
  </si>
  <si>
    <t>Брехер Макар Олександрович</t>
  </si>
  <si>
    <t>ВФЧ/ШВ/У/0787</t>
  </si>
  <si>
    <t>Дашко Вікторія Михайлівна</t>
  </si>
  <si>
    <t>ВФЧ/ШВ/У/0788</t>
  </si>
  <si>
    <t>Зайцева Вікторія Ігорівна</t>
  </si>
  <si>
    <t>ВФЧ/ШВ/У/0789</t>
  </si>
  <si>
    <t>Заклепний Георгій Михайлович</t>
  </si>
  <si>
    <t>ВФЧ/ШВ/У/0790</t>
  </si>
  <si>
    <t>Замковська Єлизавета Русланівна</t>
  </si>
  <si>
    <t>ВФЧ/ШВ/У/0791</t>
  </si>
  <si>
    <t>Кадук Олеся Олександрівна</t>
  </si>
  <si>
    <t>ВФЧ/ШВ/У/0792</t>
  </si>
  <si>
    <t>Каюн Олександра Сергіївна</t>
  </si>
  <si>
    <t>ВФЧ/ШВ/У/0793</t>
  </si>
  <si>
    <t>Костенко Микола Миколайович</t>
  </si>
  <si>
    <t>ВФЧ/ШВ/У/0794</t>
  </si>
  <si>
    <t>Кулікевич Софія Іванівна</t>
  </si>
  <si>
    <t>ВФЧ/ШВ/У/0795</t>
  </si>
  <si>
    <t>Мироненко Ігор Дмитрович</t>
  </si>
  <si>
    <t>ВФЧ/ШВ/У/0796</t>
  </si>
  <si>
    <t>Мірошніков Артем Дмитрович</t>
  </si>
  <si>
    <t>ВФЧ/ШВ/У/0797</t>
  </si>
  <si>
    <t>Мордовець Софія Євгенівна</t>
  </si>
  <si>
    <t>ВФЧ/ШВ/У/0798</t>
  </si>
  <si>
    <t>Музиря Максим Едуардович</t>
  </si>
  <si>
    <t>ВФЧ/ШВ/У/0799</t>
  </si>
  <si>
    <t>Ошека Микита Іванович</t>
  </si>
  <si>
    <t>ВФЧ/ШВ/У/0800</t>
  </si>
  <si>
    <t>Павельєва Софія Юріївна</t>
  </si>
  <si>
    <t>ВФЧ/ШВ/У/0801</t>
  </si>
  <si>
    <t>Павленко Ілона Іванівна</t>
  </si>
  <si>
    <t>ВФЧ/ШВ/У/0802</t>
  </si>
  <si>
    <t>Пирожок Валентина Віталіївна</t>
  </si>
  <si>
    <t>ВФЧ/ШВ/У/0803</t>
  </si>
  <si>
    <t>Піцик Софія Сергіївна</t>
  </si>
  <si>
    <t>ВФЧ/ШВ/У/0804</t>
  </si>
  <si>
    <t>Повага Дар’я Миколаївна</t>
  </si>
  <si>
    <t>ВФЧ/ШВ/У/0805</t>
  </si>
  <si>
    <t>Пожар Микита Романович</t>
  </si>
  <si>
    <t>ВФЧ/ШВ/У/0806</t>
  </si>
  <si>
    <t>Сахно Олег Олександрович</t>
  </si>
  <si>
    <t>ВФЧ/ШВ/У/0807</t>
  </si>
  <si>
    <t>Сисак Марія Олександрівна</t>
  </si>
  <si>
    <t>ВФЧ/ШВ/У/0808</t>
  </si>
  <si>
    <t>Скулінець Даніл Костянтинович</t>
  </si>
  <si>
    <t>ВФЧ/ШВ/У/0809</t>
  </si>
  <si>
    <t>Совенко Максим Олександрович</t>
  </si>
  <si>
    <t>ВФЧ/ШВ/У/0810</t>
  </si>
  <si>
    <t>Стеценко Владислав Віталійович</t>
  </si>
  <si>
    <t>ВФЧ/ШВ/У/0811</t>
  </si>
  <si>
    <t>Тимчук Марія Вадимівна</t>
  </si>
  <si>
    <t>ВФЧ/ШВ/У/0812</t>
  </si>
  <si>
    <t>Черепашинська Марія Ростиславівна</t>
  </si>
  <si>
    <t>ВФЧ/ШВ/У/0813</t>
  </si>
  <si>
    <t>Янченко Валерія Олегівна</t>
  </si>
  <si>
    <t>ВФЧ/ШВ/У/0814</t>
  </si>
  <si>
    <t>Криворізький ліцей №4 Криворізької міської ради</t>
  </si>
  <si>
    <t>Кулик Вікторія Вадимівна</t>
  </si>
  <si>
    <t>Бондюк Кирило Вадимович</t>
  </si>
  <si>
    <t>ВФЧ/ШВ/У/0815</t>
  </si>
  <si>
    <t>Калугіна Вікторія Олександрівна</t>
  </si>
  <si>
    <t>ВФЧ/ШВ/У/0816</t>
  </si>
  <si>
    <t>Рєзнік Вадим Денисович</t>
  </si>
  <si>
    <t>ВФЧ/ШВ/У/0817</t>
  </si>
  <si>
    <t>Гайдук Єлизавета Андріївна</t>
  </si>
  <si>
    <t>ВФЧ/ШВ/У/0818</t>
  </si>
  <si>
    <t>Мірошник Софія Романівна</t>
  </si>
  <si>
    <t>ВФЧ/ШВ/У/0819</t>
  </si>
  <si>
    <t>Великохатько Андрій Павлович</t>
  </si>
  <si>
    <t>ВФЧ/ШВ/У/0820</t>
  </si>
  <si>
    <t>Григоренко Софія Сергіївна</t>
  </si>
  <si>
    <t>ВФЧ/ШВ/У/0821</t>
  </si>
  <si>
    <t>Воронченко Ярослав Костянтинович</t>
  </si>
  <si>
    <t>ВФЧ/ШВ/У/0822</t>
  </si>
  <si>
    <t>Кіндзерський Владислав Ярославович</t>
  </si>
  <si>
    <t>ВФЧ/ШВ/У/0823</t>
  </si>
  <si>
    <t>Кім Валерія Станіславівна</t>
  </si>
  <si>
    <t>ВФЧ/ШВ/У/0824</t>
  </si>
  <si>
    <t>Кравець Марина Андріївна</t>
  </si>
  <si>
    <t>ВФЧ/ШВ/У/0825</t>
  </si>
  <si>
    <t>Соловей Ярослава Анатоліївна</t>
  </si>
  <si>
    <t>ВФЧ/ШВ/У/0826</t>
  </si>
  <si>
    <t>Марченко Павло Станіславович</t>
  </si>
  <si>
    <t>ВФЧ/ШВ/У/0827</t>
  </si>
  <si>
    <t>Смиковська Софія Володимирівна</t>
  </si>
  <si>
    <t>ВФЧ/ШВ/У/0828</t>
  </si>
  <si>
    <t>Лобода Анна Ігорівна</t>
  </si>
  <si>
    <t>ВФЧ/ШВ/У/0829</t>
  </si>
  <si>
    <t>Момот Антон Сергійович</t>
  </si>
  <si>
    <t>ВФЧ/ШВ/У/0830</t>
  </si>
  <si>
    <t>Головченко Стефанія Юріївна</t>
  </si>
  <si>
    <t>ВФЧ/ШВ/У/0831</t>
  </si>
  <si>
    <t>Юрченко Поліна Сергіївна</t>
  </si>
  <si>
    <t>ВФЧ/ШВ/У/0832</t>
  </si>
  <si>
    <t>Лазаренко Ксенія Олексіївна</t>
  </si>
  <si>
    <t>ВФЧ/ШВ/У/0833</t>
  </si>
  <si>
    <t>Васильєва Дар'я Олександрівна</t>
  </si>
  <si>
    <t>ВФЧ/ШВ/У/0834</t>
  </si>
  <si>
    <t>Антонюк Мілана Андріївна</t>
  </si>
  <si>
    <t>ВФЧ/ШВ/У/0835</t>
  </si>
  <si>
    <t>Криворізький Покровський ліцей Криворізької міської ради</t>
  </si>
  <si>
    <t>Малюжонок Олена Олександрівна</t>
  </si>
  <si>
    <t>Сусідка Віталій Віталійович</t>
  </si>
  <si>
    <t>ВФЧ/ШВ/У/0836</t>
  </si>
  <si>
    <t>Єременко Вікторія Вікторівна</t>
  </si>
  <si>
    <t>ВФЧ/ШВ/У/0837</t>
  </si>
  <si>
    <t>Пазюка Яна Вікторівна</t>
  </si>
  <si>
    <t>ВФЧ/ШВ/У/0838</t>
  </si>
  <si>
    <t>Пороховніченко Максим Сергійович</t>
  </si>
  <si>
    <t>ВФЧ/ШВ/У/0839</t>
  </si>
  <si>
    <t>Абартель Андрій Андрійович</t>
  </si>
  <si>
    <t>ВФЧ/ШВ/У/0840</t>
  </si>
  <si>
    <t>Сорока Артем Володимирович</t>
  </si>
  <si>
    <t>ВФЧ/ШВ/У/0841</t>
  </si>
  <si>
    <t>Нагорна Софія Ігорівна</t>
  </si>
  <si>
    <t>ВФЧ/ШВ/У/0842</t>
  </si>
  <si>
    <t>Дятлова Дарина Валеріївна</t>
  </si>
  <si>
    <t>ВФЧ/ШВ/У/0843</t>
  </si>
  <si>
    <t>Блага Денис Вячеславович</t>
  </si>
  <si>
    <t>ВФЧ/ШВ/У/0844</t>
  </si>
  <si>
    <t>Палієнко Поліна Дмитрівна</t>
  </si>
  <si>
    <t>ВФЧ/ШВ/У/0845</t>
  </si>
  <si>
    <t>Воротнікова Дар’я Віталіївна</t>
  </si>
  <si>
    <t>ВФЧ/ШВ/У/0846</t>
  </si>
  <si>
    <t>Швець Данііл Михайлович</t>
  </si>
  <si>
    <t>ВФЧ/ШВ/У/0847</t>
  </si>
  <si>
    <t>Яременко Богдан Валерійович</t>
  </si>
  <si>
    <t>ВФЧ/ШВ/У/0848</t>
  </si>
  <si>
    <t>Йожикова Катерина Олександрівна</t>
  </si>
  <si>
    <t>ВФЧ/ШВ/У/0849</t>
  </si>
  <si>
    <t>Шаповал Аліна Олександрівна</t>
  </si>
  <si>
    <t>ВФЧ/ШВ/У/0850</t>
  </si>
  <si>
    <t>Слобожанський ліцей Слобожанської селищної ради Дніпровського району Дніпропетровської області</t>
  </si>
  <si>
    <t>Мараховська Юлія Олексіївна</t>
  </si>
  <si>
    <t>Бідуха Артем Ігорович</t>
  </si>
  <si>
    <t>ВФЧ/ШВ/У/0851</t>
  </si>
  <si>
    <t>Кроль Микита Віталійович</t>
  </si>
  <si>
    <t>ВФЧ/ШВ/У/0852</t>
  </si>
  <si>
    <t>Любченко Олексій Сергійович</t>
  </si>
  <si>
    <t>ВФЧ/ШВ/У/0853</t>
  </si>
  <si>
    <t>Остапюк Єгор Федорович</t>
  </si>
  <si>
    <t>ВФЧ/ШВ/У/0854</t>
  </si>
  <si>
    <t>Решетніков Олександр Станіславович</t>
  </si>
  <si>
    <t>ВФЧ/ШВ/У/0855</t>
  </si>
  <si>
    <t>Солодовникова Варвара Дмитрівна</t>
  </si>
  <si>
    <t>ВФЧ/ШВ/У/0856</t>
  </si>
  <si>
    <t>Чернобиль Валентин Вікторович</t>
  </si>
  <si>
    <t>ВФЧ/ШВ/У/0857</t>
  </si>
  <si>
    <t>Шабовта Михайло Олександрович</t>
  </si>
  <si>
    <t>ВФЧ/ШВ/У/0858</t>
  </si>
  <si>
    <t>Яворський Іван Олексійович</t>
  </si>
  <si>
    <t>ВФЧ/ШВ/У/0859</t>
  </si>
  <si>
    <t>Березовська Софія Олександрівна</t>
  </si>
  <si>
    <t>ВФЧ/ШВ/У/0860</t>
  </si>
  <si>
    <t>Блінов Тимур Олександрович</t>
  </si>
  <si>
    <t>ВФЧ/ШВ/У/0861</t>
  </si>
  <si>
    <t>Божков Кирило Сергійович</t>
  </si>
  <si>
    <t>ВФЧ/ШВ/У/0862</t>
  </si>
  <si>
    <t>Бондарев Дмитро Вікторович</t>
  </si>
  <si>
    <t>ВФЧ/ШВ/У/0863</t>
  </si>
  <si>
    <t>Герасимчук Святослав Віталійович</t>
  </si>
  <si>
    <t>ВФЧ/ШВ/У/0864</t>
  </si>
  <si>
    <t>Дмитренко Максим Олександрович</t>
  </si>
  <si>
    <t>ВФЧ/ШВ/У/0865</t>
  </si>
  <si>
    <t>Єлісєєва Діана Вікторівна</t>
  </si>
  <si>
    <t>ВФЧ/ШВ/У/0866</t>
  </si>
  <si>
    <t>Захарова Варвара Віталіївна</t>
  </si>
  <si>
    <t>ВФЧ/ШВ/У/0867</t>
  </si>
  <si>
    <t>Кабанець Назар Денисович</t>
  </si>
  <si>
    <t>ВФЧ/ШВ/У/0868</t>
  </si>
  <si>
    <t>Кияниця Артем Богданович</t>
  </si>
  <si>
    <t>ВФЧ/ШВ/У/0869</t>
  </si>
  <si>
    <t>Ковальов Іван Андрійович</t>
  </si>
  <si>
    <t>ВФЧ/ШВ/У/0870</t>
  </si>
  <si>
    <t>Коташвілі Софія Давидівна</t>
  </si>
  <si>
    <t>ВФЧ/ШВ/У/0871</t>
  </si>
  <si>
    <t>Лимаренко Богдан Артемович</t>
  </si>
  <si>
    <t>ВФЧ/ШВ/У/0872</t>
  </si>
  <si>
    <t>Муравйова Катерина Андріївна</t>
  </si>
  <si>
    <t>ВФЧ/ШВ/У/0873</t>
  </si>
  <si>
    <t>Омельченко Орина Андріївна</t>
  </si>
  <si>
    <t>ВФЧ/ШВ/У/0874</t>
  </si>
  <si>
    <t>Пономаренко Володимир Сергійович</t>
  </si>
  <si>
    <t>ВФЧ/ШВ/У/0875</t>
  </si>
  <si>
    <t>Толкачов Платон Олексійович</t>
  </si>
  <si>
    <t>ВФЧ/ШВ/У/0876</t>
  </si>
  <si>
    <t>Усенко Вадим Володимирович</t>
  </si>
  <si>
    <t>ВФЧ/ШВ/У/0877</t>
  </si>
  <si>
    <t>Чубенко Дмитро Сергійович</t>
  </si>
  <si>
    <t>ВФЧ/ШВ/У/0878</t>
  </si>
  <si>
    <t>Яловий Владислав Вячеславович</t>
  </si>
  <si>
    <t>ВФЧ/ШВ/У/0879</t>
  </si>
  <si>
    <t>Юдін Богдан Артемович</t>
  </si>
  <si>
    <t>ВФЧ/ШВ/У/0880</t>
  </si>
  <si>
    <t>Бутко Тетяна Валентинівна</t>
  </si>
  <si>
    <t>ВФЧ/ШВ/У/0881</t>
  </si>
  <si>
    <t>Данченко Клим Денисович</t>
  </si>
  <si>
    <t>ВФЧ/ШВ/У/0882</t>
  </si>
  <si>
    <t>Катульська Аліна Андріївна</t>
  </si>
  <si>
    <t>ВФЧ/ШВ/У/0883</t>
  </si>
  <si>
    <t>Кесова Софія Сократісівна</t>
  </si>
  <si>
    <t>ВФЧ/ШВ/У/0884</t>
  </si>
  <si>
    <t>Кізілов Артем Олегович</t>
  </si>
  <si>
    <t>ВФЧ/ШВ/У/0885</t>
  </si>
  <si>
    <t>Колишкін Ілля Павлович</t>
  </si>
  <si>
    <t>ВФЧ/ШВ/У/0886</t>
  </si>
  <si>
    <t>Левченко Поліна Володимирівна</t>
  </si>
  <si>
    <t>ВФЧ/ШВ/У/0887</t>
  </si>
  <si>
    <t>Медведєва Анна Андріївна</t>
  </si>
  <si>
    <t>ВФЧ/ШВ/У/0888</t>
  </si>
  <si>
    <t>Наумова Анастасія Володимирівна</t>
  </si>
  <si>
    <t>ВФЧ/ШВ/У/0889</t>
  </si>
  <si>
    <t>Панягіна Анастасія Романівна</t>
  </si>
  <si>
    <t>ВФЧ/ШВ/У/0890</t>
  </si>
  <si>
    <t>Самсонова Анастасія Дмитрівна</t>
  </si>
  <si>
    <t>ВФЧ/ШВ/У/0891</t>
  </si>
  <si>
    <t>Семко Софія Сергіївна</t>
  </si>
  <si>
    <t>ВФЧ/ШВ/У/0892</t>
  </si>
  <si>
    <t>Слободянюк Поліна Віталіївна</t>
  </si>
  <si>
    <t>ВФЧ/ШВ/У/0893</t>
  </si>
  <si>
    <t>Шахназарян Карина Айказівна</t>
  </si>
  <si>
    <t>ВФЧ/ШВ/У/0894</t>
  </si>
  <si>
    <t>Школовий Максим Дмитрович</t>
  </si>
  <si>
    <t>ВФЧ/ШВ/У/0895</t>
  </si>
  <si>
    <t>Юрченко Катерина Сергіївна</t>
  </si>
  <si>
    <t>ВФЧ/ШВ/У/0896</t>
  </si>
  <si>
    <t>Явтушенко Софія Валеріївна</t>
  </si>
  <si>
    <t>ВФЧ/ШВ/У/0897</t>
  </si>
  <si>
    <t>КЗО "Криворізький ліцей "КОЛІЯ" ДОР"</t>
  </si>
  <si>
    <t>Мокрушина Оксана Григорівна</t>
  </si>
  <si>
    <t>Салоід Аліна Євгенівна</t>
  </si>
  <si>
    <t>ВФЧ/ШВ/У/0898</t>
  </si>
  <si>
    <t>Хабенко Богдан Євгенович</t>
  </si>
  <si>
    <t>ВФЧ/ШВ/У/0899</t>
  </si>
  <si>
    <t>Мазний Вадим Андрійович</t>
  </si>
  <si>
    <t>ВФЧ/ШВ/У/0900</t>
  </si>
  <si>
    <t>Шубало Дар'я Станіславівна</t>
  </si>
  <si>
    <t>ВФЧ/ШВ/У/0901</t>
  </si>
  <si>
    <t>Цибульський Денис Дмитрович</t>
  </si>
  <si>
    <t>ВФЧ/ШВ/У/0902</t>
  </si>
  <si>
    <t>Денисенко Ілля Віталійович</t>
  </si>
  <si>
    <t>ВФЧ/ШВ/У/0903</t>
  </si>
  <si>
    <t>Мартиненко Кіра Віталіївна</t>
  </si>
  <si>
    <t>ВФЧ/ШВ/У/0904</t>
  </si>
  <si>
    <t>Гуменок Марина Костянтинівна</t>
  </si>
  <si>
    <t>ВФЧ/ШВ/У/0905</t>
  </si>
  <si>
    <t>Куцюруба Матвій Олександрович</t>
  </si>
  <si>
    <t>ВФЧ/ШВ/У/0906</t>
  </si>
  <si>
    <t>Суковач Микита Сергійович</t>
  </si>
  <si>
    <t>ВФЧ/ШВ/У/0907</t>
  </si>
  <si>
    <t>Пекалюк Нікіта Андрійович</t>
  </si>
  <si>
    <t>ВФЧ/ШВ/У/0908</t>
  </si>
  <si>
    <t>Шляк Нікіта Олександрович</t>
  </si>
  <si>
    <t>ВФЧ/ШВ/У/0909</t>
  </si>
  <si>
    <t>Федько Павло Максимович</t>
  </si>
  <si>
    <t>ВФЧ/ШВ/У/0910</t>
  </si>
  <si>
    <t>Нікітін Федір Віталійович</t>
  </si>
  <si>
    <t>ВФЧ/ШВ/У/0911</t>
  </si>
  <si>
    <t>Малецька Юлія Вадимівна</t>
  </si>
  <si>
    <t>ВФЧ/ШВ/У/0912</t>
  </si>
  <si>
    <t>Баклан Діана Андріївна</t>
  </si>
  <si>
    <t>ВФЧ/ШВ/У/0913</t>
  </si>
  <si>
    <t>Берковська Варвара Олександрівна</t>
  </si>
  <si>
    <t>ВФЧ/ШВ/У/0914</t>
  </si>
  <si>
    <t>Бударова Ангеліна Олександрівна</t>
  </si>
  <si>
    <t>ВФЧ/ШВ/У/0915</t>
  </si>
  <si>
    <t>Будніков Дмитро Олександрович</t>
  </si>
  <si>
    <t>ВФЧ/ШВ/У/0916</t>
  </si>
  <si>
    <t>Бульба Дарина Сергіївна</t>
  </si>
  <si>
    <t>ВФЧ/ШВ/У/0917</t>
  </si>
  <si>
    <t>Гедзенко Анна Олександрівна</t>
  </si>
  <si>
    <t>ВФЧ/ШВ/У/0918</t>
  </si>
  <si>
    <t>Головко Маргарита Андріївна</t>
  </si>
  <si>
    <t>ВФЧ/ШВ/У/0919</t>
  </si>
  <si>
    <t>Єршова Ольга Сергіївна</t>
  </si>
  <si>
    <t>ВФЧ/ШВ/У/0920</t>
  </si>
  <si>
    <t>Зайцева Вікторія Денисівна</t>
  </si>
  <si>
    <t>ВФЧ/ШВ/У/0921</t>
  </si>
  <si>
    <t>Іваниш Денис Олександрович</t>
  </si>
  <si>
    <t>ВФЧ/ШВ/У/0922</t>
  </si>
  <si>
    <t>Мельник Юрій Олександрович</t>
  </si>
  <si>
    <t>ВФЧ/ШВ/У/0923</t>
  </si>
  <si>
    <t>Ніколаєва Вероніка Миколаївна</t>
  </si>
  <si>
    <t>ВФЧ/ШВ/У/0924</t>
  </si>
  <si>
    <t>Позняков Ілля Віталійович</t>
  </si>
  <si>
    <t>ВФЧ/ШВ/У/0925</t>
  </si>
  <si>
    <t>Познякова Карина Олександрівна</t>
  </si>
  <si>
    <t>ВФЧ/ШВ/У/0926</t>
  </si>
  <si>
    <t>Порошиста Софія Олегівна</t>
  </si>
  <si>
    <t>ВФЧ/ШВ/У/0927</t>
  </si>
  <si>
    <t>Сєрова Аліна Андріївна</t>
  </si>
  <si>
    <t>ВФЧ/ШВ/У/0928</t>
  </si>
  <si>
    <t>Слисаренко Олександра Олександрівна</t>
  </si>
  <si>
    <t>ВФЧ/ШВ/У/0929</t>
  </si>
  <si>
    <t>Сова Артем Сергійович</t>
  </si>
  <si>
    <t>ВФЧ/ШВ/У/0930</t>
  </si>
  <si>
    <t>Сушин Маргарита Миколаївна</t>
  </si>
  <si>
    <t>ВФЧ/ШВ/У/0931</t>
  </si>
  <si>
    <t>Щетина Владислав Олексійович</t>
  </si>
  <si>
    <t>ВФЧ/ШВ/У/0932</t>
  </si>
  <si>
    <t>Криворізький ліцей академічного спрямування "Міжнародні перспективи" Криворізької міської ради</t>
  </si>
  <si>
    <t>Морозова Наталя Володимирівна, Гнатюк Анна Сергіївна</t>
  </si>
  <si>
    <t>Карунас Олександр Володимирович</t>
  </si>
  <si>
    <t>ВФЧ/ШВ/У/0933</t>
  </si>
  <si>
    <t>Варченко Анастасія Олегівна</t>
  </si>
  <si>
    <t>ВФЧ/ШВ/У/0934</t>
  </si>
  <si>
    <t>Гуля Марія Станіславівна</t>
  </si>
  <si>
    <t>ВФЧ/ШВ/У/0935</t>
  </si>
  <si>
    <t>Попружний Ренат Артемович</t>
  </si>
  <si>
    <t>ВФЧ/ШВ/У/0936</t>
  </si>
  <si>
    <t>Полякова Альона Олегівна</t>
  </si>
  <si>
    <t>ВФЧ/ШВ/У/0937</t>
  </si>
  <si>
    <t>Аліїва Аріна Дмитрівна</t>
  </si>
  <si>
    <t>ВФЧ/ШВ/У/0938</t>
  </si>
  <si>
    <t>Руденко Максим Костянтинович</t>
  </si>
  <si>
    <t>ВФЧ/ШВ/У/0939</t>
  </si>
  <si>
    <t>Євтухова Вікторія Олександрівна</t>
  </si>
  <si>
    <t>ВФЧ/ШВ/У/0940</t>
  </si>
  <si>
    <t>Кравченко Іван Олександрович</t>
  </si>
  <si>
    <t>ВФЧ/ШВ/У/0941</t>
  </si>
  <si>
    <t>Торгуд Аріадна Ігорівна</t>
  </si>
  <si>
    <t>ВФЧ/ШВ/У/0942</t>
  </si>
  <si>
    <t>Холдєєва Марія Вадимівна</t>
  </si>
  <si>
    <t>ВФЧ/ШВ/У/0943</t>
  </si>
  <si>
    <t>Шестов Ярослав Павлович</t>
  </si>
  <si>
    <t>ВФЧ/ШВ/У/0944</t>
  </si>
  <si>
    <t>Піщак Вікторія Вячеславівна</t>
  </si>
  <si>
    <t>ВФЧ/ШВ/У/0945</t>
  </si>
  <si>
    <t>Опорний ліцей 1 ім. М.М.Коцюбинського Васильківської селищної ради Синельниковського району Дніпропетровської області</t>
  </si>
  <si>
    <t>Навроцький Ігор Віталійович</t>
  </si>
  <si>
    <t>Волобуєв Олександр Сергійович</t>
  </si>
  <si>
    <t>ВФЧ/ШВ/У/0946</t>
  </si>
  <si>
    <t>Коваленко Дмитро Олегович</t>
  </si>
  <si>
    <t>ВФЧ/ШВ/У/0947</t>
  </si>
  <si>
    <t>Куцоконь Дар'я Володимирівна</t>
  </si>
  <si>
    <t>ВФЧ/ШВ/У/0948</t>
  </si>
  <si>
    <t>Лопатніченко Анна Олександрівна</t>
  </si>
  <si>
    <t>ВФЧ/ШВ/У/0949</t>
  </si>
  <si>
    <t>Огіль Софія Олександрівна</t>
  </si>
  <si>
    <t>ВФЧ/ШВ/У/0950</t>
  </si>
  <si>
    <t>Криворізький ліцей №119 Криворізької міської ради</t>
  </si>
  <si>
    <t>Обод Людмила Олександрівна</t>
  </si>
  <si>
    <t>Аммосов Станіслав Олексійович</t>
  </si>
  <si>
    <t>ВФЧ/ШВ/У/0951</t>
  </si>
  <si>
    <t>Бузько Марія Володимірівна</t>
  </si>
  <si>
    <t>ВФЧ/ШВ/У/0952</t>
  </si>
  <si>
    <t>Васковець Єлизавета Анатоліївна</t>
  </si>
  <si>
    <t>ВФЧ/ШВ/У/0953</t>
  </si>
  <si>
    <t>Волосенко Владислав Денисович</t>
  </si>
  <si>
    <t>ВФЧ/ШВ/У/0954</t>
  </si>
  <si>
    <t>Галуза Милана Віталіївна</t>
  </si>
  <si>
    <t>ВФЧ/ШВ/У/0955</t>
  </si>
  <si>
    <t>Гуляєв Микита Юрійович</t>
  </si>
  <si>
    <t>ВФЧ/ШВ/У/0956</t>
  </si>
  <si>
    <t>Денисенко Марина Олександрівна</t>
  </si>
  <si>
    <t>ВФЧ/ШВ/У/0957</t>
  </si>
  <si>
    <t>Дядечкина Маргарита Дмитрівна</t>
  </si>
  <si>
    <t>ВФЧ/ШВ/У/0958</t>
  </si>
  <si>
    <t>Звєрєв Олександр Дмитрович</t>
  </si>
  <si>
    <t>ВФЧ/ШВ/У/0959</t>
  </si>
  <si>
    <t>Капітонова Світлана Михайлівна</t>
  </si>
  <si>
    <t>ВФЧ/ШВ/У/0960</t>
  </si>
  <si>
    <t>Капустянська Анастасія Ігорівна</t>
  </si>
  <si>
    <t>ВФЧ/ШВ/У/0961</t>
  </si>
  <si>
    <t>Король Софія Дмитрівна</t>
  </si>
  <si>
    <t>ВФЧ/ШВ/У/0962</t>
  </si>
  <si>
    <t>Лепський Давид Костянтинович</t>
  </si>
  <si>
    <t>ВФЧ/ШВ/У/0963</t>
  </si>
  <si>
    <t>Наянов Олег Олександрович</t>
  </si>
  <si>
    <t>ВФЧ/ШВ/У/0964</t>
  </si>
  <si>
    <t>Рижак Аліса Аркадіївна</t>
  </si>
  <si>
    <t>ВФЧ/ШВ/У/0965</t>
  </si>
  <si>
    <t>Руденко Антоніна Русланівна</t>
  </si>
  <si>
    <t>ВФЧ/ШВ/У/0966</t>
  </si>
  <si>
    <t>Стрибкова Поліна Сергіївна</t>
  </si>
  <si>
    <t>ВФЧ/ШВ/У/0967</t>
  </si>
  <si>
    <t>Частокол Яна Павлівна</t>
  </si>
  <si>
    <t>ВФЧ/ШВ/У/0968</t>
  </si>
  <si>
    <t>Ялова Катерина Олександрівна</t>
  </si>
  <si>
    <t>ВФЧ/ШВ/У/0969</t>
  </si>
  <si>
    <t>Криворізький ліцей №129 Криворізької міської ради</t>
  </si>
  <si>
    <t>Ольферт Олена Григорівна</t>
  </si>
  <si>
    <t>Тоточенко Андрій Сергійович</t>
  </si>
  <si>
    <t>ВФЧ/ШВ/У/0970</t>
  </si>
  <si>
    <t>Хомінець Макарій Ігорович</t>
  </si>
  <si>
    <t>ВФЧ/ШВ/У/0971</t>
  </si>
  <si>
    <t>Редькін Максим Русланович</t>
  </si>
  <si>
    <t>ВФЧ/ШВ/У/0972</t>
  </si>
  <si>
    <t>Лаврусь Нікіта Ярославович</t>
  </si>
  <si>
    <t>ВФЧ/ШВ/У/0973</t>
  </si>
  <si>
    <t>Романчук Данило Максимович</t>
  </si>
  <si>
    <t>ВФЧ/ШВ/У/0974</t>
  </si>
  <si>
    <t>Коваленко Владислав Віталійович</t>
  </si>
  <si>
    <t>ВФЧ/ШВ/У/0975</t>
  </si>
  <si>
    <t>Грабська Інга Іванівна</t>
  </si>
  <si>
    <t>ВФЧ/ШВ/У/0976</t>
  </si>
  <si>
    <t>Успенська Надія  Павлівна</t>
  </si>
  <si>
    <t>ВФЧ/ШВ/У/0977</t>
  </si>
  <si>
    <t>Гладченко Марія Сергіївна</t>
  </si>
  <si>
    <t>ВФЧ/ШВ/У/0978</t>
  </si>
  <si>
    <t>Набієва Каміла Шафагатівна</t>
  </si>
  <si>
    <t>ВФЧ/ШВ/У/0979</t>
  </si>
  <si>
    <t>Вишняк Поліна Олександрівна</t>
  </si>
  <si>
    <t>ВФЧ/ШВ/У/0980</t>
  </si>
  <si>
    <t>Волочнюк Арсеній Миколайович</t>
  </si>
  <si>
    <t>ВФЧ/ШВ/У/0981</t>
  </si>
  <si>
    <t>Ліцей №2 Підгородненської міської ради Дніпропетровської області</t>
  </si>
  <si>
    <t>Погребна Юлія Сергіївна</t>
  </si>
  <si>
    <t>Єрмаков Ярослав Ілліч</t>
  </si>
  <si>
    <t>ВФЧ/ШВ/У/0982</t>
  </si>
  <si>
    <t>Мосьпан Крістіна Петрівна</t>
  </si>
  <si>
    <t>ВФЧ/ШВ/У/0983</t>
  </si>
  <si>
    <t>Степаненко Марія Віталіївна</t>
  </si>
  <si>
    <t>ВФЧ/ШВ/У/0984</t>
  </si>
  <si>
    <t>Шведова Евеліна Андріївна</t>
  </si>
  <si>
    <t>ВФЧ/ШВ/У/0985</t>
  </si>
  <si>
    <t>Христенко Ірина Олексіївна</t>
  </si>
  <si>
    <t>ВФЧ/ШВ/У/0986</t>
  </si>
  <si>
    <t>Плис Арсеній Валерійович</t>
  </si>
  <si>
    <t>ВФЧ/ШВ/У/0987</t>
  </si>
  <si>
    <t>Расіна Аліна Едгарівна</t>
  </si>
  <si>
    <t>ВФЧ/ШВ/У/0988</t>
  </si>
  <si>
    <t>Криворізький ліцей №81 КМР</t>
  </si>
  <si>
    <t>Приходько Галина Петрівна</t>
  </si>
  <si>
    <t>Бєла Віолетта Артурівна</t>
  </si>
  <si>
    <t>ВФЧ/ШВ/У/0989</t>
  </si>
  <si>
    <t>Гавва Еліна Сергіївна</t>
  </si>
  <si>
    <t>ВФЧ/ШВ/У/0990</t>
  </si>
  <si>
    <t>Гогіна Анастасія Закірівна</t>
  </si>
  <si>
    <t>ВФЧ/ШВ/У/0991</t>
  </si>
  <si>
    <t>Драбенко Владислав Віталійович</t>
  </si>
  <si>
    <t>ВФЧ/ШВ/У/0992</t>
  </si>
  <si>
    <t>Каюн Вероніка Олександрівна</t>
  </si>
  <si>
    <t>ВФЧ/ШВ/У/0993</t>
  </si>
  <si>
    <t>Козак Владислав Сергійович</t>
  </si>
  <si>
    <t>ВФЧ/ШВ/У/0994</t>
  </si>
  <si>
    <t>Кодинець Назар Вадимович</t>
  </si>
  <si>
    <t>ВФЧ/ШВ/У/0995</t>
  </si>
  <si>
    <t>Кодря Діана Олегівна</t>
  </si>
  <si>
    <t>ВФЧ/ШВ/У/0996</t>
  </si>
  <si>
    <t>Малихіна Софія Олександрівна</t>
  </si>
  <si>
    <t>ВФЧ/ШВ/У/0997</t>
  </si>
  <si>
    <t>Пигида Єва Олексіївна</t>
  </si>
  <si>
    <t>ВФЧ/ШВ/У/0998</t>
  </si>
  <si>
    <t>Турчин Владислав Сергійович</t>
  </si>
  <si>
    <t>ВФЧ/ШВ/У/0999</t>
  </si>
  <si>
    <t>Кумпан Анна Андріївна</t>
  </si>
  <si>
    <t>ВФЧ/ШВ/У/1000</t>
  </si>
  <si>
    <t>Лясов Ілля Миколайович</t>
  </si>
  <si>
    <t>ВФЧ/ШВ/У/1001</t>
  </si>
  <si>
    <t>Пастушина Владислава Андріївна</t>
  </si>
  <si>
    <t>ВФЧ/ШВ/У/1002</t>
  </si>
  <si>
    <t>Петренко Олександра Вячеславівна</t>
  </si>
  <si>
    <t>ВФЧ/ШВ/У/1003</t>
  </si>
  <si>
    <t>Петруняк Анастасія Володимирівна</t>
  </si>
  <si>
    <t>ВФЧ/ШВ/У/1004</t>
  </si>
  <si>
    <t>Романчук Ірина Ігорівна</t>
  </si>
  <si>
    <t>ВФЧ/ШВ/У/1005</t>
  </si>
  <si>
    <t>Саяпін Максим Олександрович</t>
  </si>
  <si>
    <t>ВФЧ/ШВ/У/1006</t>
  </si>
  <si>
    <t>Опорний заклад освіти Славгородський ліцей Славгородської Селищної ради Синельниківського району Дніпропетровської області</t>
  </si>
  <si>
    <t>Прядка-Іщенко Анна Володимирівна</t>
  </si>
  <si>
    <t>Любчик Андрій Павлович</t>
  </si>
  <si>
    <t>ВФЧ/ШВ/У/1007</t>
  </si>
  <si>
    <t>Четверікова Вікторія Віталіївна</t>
  </si>
  <si>
    <t>ВФЧ/ШВ/У/1008</t>
  </si>
  <si>
    <t>Картова Віолетта Романівна</t>
  </si>
  <si>
    <t>ВФЧ/ШВ/У/1009</t>
  </si>
  <si>
    <t>Жиров Максим Олександрович</t>
  </si>
  <si>
    <t>ВФЧ/ШВ/У/1010</t>
  </si>
  <si>
    <t>Рюхтіна Єлизавета Володимирівна</t>
  </si>
  <si>
    <t>ВФЧ/ШВ/У/1011</t>
  </si>
  <si>
    <t>Комунальний заклад освіти "Ліцей митно-податкової справи з посиленою військово-фізичною підготовкою при Університеті митної справи та фінансів" Дніпровської міської ради</t>
  </si>
  <si>
    <t>Руденко Галина Анатоліївна</t>
  </si>
  <si>
    <t>Іванов Ігор Олександрович</t>
  </si>
  <si>
    <t>ВФЧ/ШВ/У/1012</t>
  </si>
  <si>
    <t>Гончаровський Назарій Леонідович</t>
  </si>
  <si>
    <t>ВФЧ/ШВ/У/1013</t>
  </si>
  <si>
    <t>Лебідь Максим Денисович</t>
  </si>
  <si>
    <t>ВФЧ/ШВ/У/1014</t>
  </si>
  <si>
    <t>Міхович Микита Артемович</t>
  </si>
  <si>
    <t>ВФЧ/ШВ/У/1015</t>
  </si>
  <si>
    <t>Павелко Нікіта Олексійович</t>
  </si>
  <si>
    <t>ВФЧ/ШВ/У/1016</t>
  </si>
  <si>
    <t>Афанасьєв Павло Геннадійович</t>
  </si>
  <si>
    <t>ВФЧ/ШВ/У/1017</t>
  </si>
  <si>
    <t>Мозговенко Артем Володимирович</t>
  </si>
  <si>
    <t>ВФЧ/ШВ/У/1018</t>
  </si>
  <si>
    <t>Адамов Михайло Сергійович</t>
  </si>
  <si>
    <t>ВФЧ/ШВ/У/1019</t>
  </si>
  <si>
    <t>Васильєв Назар Олександрович</t>
  </si>
  <si>
    <t>ВФЧ/ШВ/У/1020</t>
  </si>
  <si>
    <t>Вибойчик Ілля Анатолійович</t>
  </si>
  <si>
    <t>ВФЧ/ШВ/У/1021</t>
  </si>
  <si>
    <t>Юрченко Михайло Юрійович</t>
  </si>
  <si>
    <t>ВФЧ/ШВ/У/1022</t>
  </si>
  <si>
    <t>Леус Владислав Андрійович</t>
  </si>
  <si>
    <t>ВФЧ/ШВ/У/1023</t>
  </si>
  <si>
    <t>Новоолександрівський ліцей Новоолександрівської сільської ради Дніпровського району Дніпропетрвської області</t>
  </si>
  <si>
    <t>Салатенко Тетяна Іванівна</t>
  </si>
  <si>
    <t>Мовчан Аліна Віталіївна</t>
  </si>
  <si>
    <t>ВФЧ/ШВ/У/1024</t>
  </si>
  <si>
    <t>Любченко Уляна Дмитрівна</t>
  </si>
  <si>
    <t>ВФЧ/ШВ/У/1025</t>
  </si>
  <si>
    <t>Постернак Анастасія Андріївна</t>
  </si>
  <si>
    <t>ВФЧ/ШВ/У/1026</t>
  </si>
  <si>
    <t>Бакум ТетянаМиколаївна</t>
  </si>
  <si>
    <t>ВФЧ/ШВ/У/1027</t>
  </si>
  <si>
    <t>Гец Світлана Сергіївна</t>
  </si>
  <si>
    <t>ВФЧ/ШВ/У/1028</t>
  </si>
  <si>
    <t>Криворізький ліцей №123 Криворізької міської ради</t>
  </si>
  <si>
    <t>Субач Оксана Ігорівна</t>
  </si>
  <si>
    <t>Боженко Софія Олександрівна</t>
  </si>
  <si>
    <t>ВФЧ/ШВ/У/1029</t>
  </si>
  <si>
    <t>Верніченко Михайло Олексійович</t>
  </si>
  <si>
    <t>ВФЧ/ШВ/У/1030</t>
  </si>
  <si>
    <t>Гора Ганна Юріївна</t>
  </si>
  <si>
    <t>ВФЧ/ШВ/У/1031</t>
  </si>
  <si>
    <t>Грудницька Аріна Андріївна</t>
  </si>
  <si>
    <t>ВФЧ/ШВ/У/1032</t>
  </si>
  <si>
    <t>Кірдань Дар'я Максимівна</t>
  </si>
  <si>
    <t>ВФЧ/ШВ/У/1033</t>
  </si>
  <si>
    <t>Крутько Аліна Євгенівна</t>
  </si>
  <si>
    <t>ВФЧ/ШВ/У/1034</t>
  </si>
  <si>
    <t>Матвієнко Діана Юріївна</t>
  </si>
  <si>
    <t>ВФЧ/ШВ/У/1035</t>
  </si>
  <si>
    <t>Осадча Марія Євгеніївна</t>
  </si>
  <si>
    <t>ВФЧ/ШВ/У/1036</t>
  </si>
  <si>
    <t>Плотнікова Ксенія Іванівна</t>
  </si>
  <si>
    <t>ВФЧ/ШВ/У/1037</t>
  </si>
  <si>
    <t>Пустовойтова Уляна Олександрівна</t>
  </si>
  <si>
    <t>ВФЧ/ШВ/У/1038</t>
  </si>
  <si>
    <t>Тітова Ксенія Володимирівна</t>
  </si>
  <si>
    <t>ВФЧ/ШВ/У/1039</t>
  </si>
  <si>
    <t>Усцова Поліна Сергіївна</t>
  </si>
  <si>
    <t>ВФЧ/ШВ/У/1040</t>
  </si>
  <si>
    <t>Шишко Святослав Ярославович</t>
  </si>
  <si>
    <t>ВФЧ/ШВ/У/1041</t>
  </si>
  <si>
    <t>Ятченко Ярослав Сергійович</t>
  </si>
  <si>
    <t>ВФЧ/ШВ/У/1042</t>
  </si>
  <si>
    <t>Тінькова Софія Вадимівна</t>
  </si>
  <si>
    <t>ВФЧ/ШВ/У/1043</t>
  </si>
  <si>
    <t>Родь-Сьомка Катерина Олексіївна</t>
  </si>
  <si>
    <t>ВФЧ/ШВ/У/1044</t>
  </si>
  <si>
    <t>Ручка Анна Антонівна</t>
  </si>
  <si>
    <t>ВФЧ/ШВ/У/1045</t>
  </si>
  <si>
    <t>Панченко Сергій Валентинович</t>
  </si>
  <si>
    <t>ВФЧ/ШВ/У/1046</t>
  </si>
  <si>
    <t>Литвин Aнна Олександрівна</t>
  </si>
  <si>
    <t>ВФЧ/ШВ/У/1047</t>
  </si>
  <si>
    <t>Сабіров Геннадій Євгенійович</t>
  </si>
  <si>
    <t>ВФЧ/ШВ/У/1048</t>
  </si>
  <si>
    <t>Сукач Олександр Володимирович</t>
  </si>
  <si>
    <t>ВФЧ/ШВ/У/1049</t>
  </si>
  <si>
    <t>Авдеєнкова Марія Андріївна</t>
  </si>
  <si>
    <t>ВФЧ/ШВ/У/1050</t>
  </si>
  <si>
    <t>Іванова Катерина Віталіївна</t>
  </si>
  <si>
    <t>ВФЧ/ШВ/У/1051</t>
  </si>
  <si>
    <t>Михайленко Марія Миколаївна</t>
  </si>
  <si>
    <t>ВФЧ/ШВ/У/1052</t>
  </si>
  <si>
    <t>Надточий Ірина Андріївна</t>
  </si>
  <si>
    <t>ВФЧ/ШВ/У/1053</t>
  </si>
  <si>
    <t>Ситник Марія Сергіївна</t>
  </si>
  <si>
    <t>ВФЧ/ШВ/У/1054</t>
  </si>
  <si>
    <t>Бойко Денис Анатолійович</t>
  </si>
  <si>
    <t>ВФЧ/ШВ/У/1055</t>
  </si>
  <si>
    <t>Безсмольний Руслан Русланович</t>
  </si>
  <si>
    <t>ВФЧ/ШВ/У/1056</t>
  </si>
  <si>
    <t>Захарченко Володимир Трохимович</t>
  </si>
  <si>
    <t>ВФЧ/ШВ/У/1057</t>
  </si>
  <si>
    <t>Дзаварян Руслан Вартанович</t>
  </si>
  <si>
    <t>ВФЧ/ШВ/У/1058</t>
  </si>
  <si>
    <t>Малиця Юрій Михайлович</t>
  </si>
  <si>
    <t>ВФЧ/ШВ/У/1059</t>
  </si>
  <si>
    <t>Авалян Вероніка Норіківна</t>
  </si>
  <si>
    <t>ВФЧ/ШВ/У/1060</t>
  </si>
  <si>
    <t>Магдалинівський ліцей Магдалинівської селищної ради</t>
  </si>
  <si>
    <t>Судьєв Сергій Володимирович</t>
  </si>
  <si>
    <t>Бондар Емілія Геннадіївна</t>
  </si>
  <si>
    <t>ВФЧ/ШВ/У/1061</t>
  </si>
  <si>
    <t>Пащенко Олександр Русланович</t>
  </si>
  <si>
    <t>ВФЧ/ШВ/У/1062</t>
  </si>
  <si>
    <t>Прокапало Артем Іванович</t>
  </si>
  <si>
    <t>ВФЧ/ШВ/У/1063</t>
  </si>
  <si>
    <t>Харитонов Данило Владиславович</t>
  </si>
  <si>
    <t>ВФЧ/ШВ/У/1064</t>
  </si>
  <si>
    <t>Хмелинська Анна Ігорівна</t>
  </si>
  <si>
    <t>ВФЧ/ШВ/У/1065</t>
  </si>
  <si>
    <t>Худенко Владислава Сергіївна</t>
  </si>
  <si>
    <t>ВФЧ/ШВ/У/1066</t>
  </si>
  <si>
    <t>Комунальний заклад №Ліцей №5 Покровської міської ради Дніпропетровської області"</t>
  </si>
  <si>
    <t>Тищенко Інна Іванівна</t>
  </si>
  <si>
    <t>Рєзнікова Олександра</t>
  </si>
  <si>
    <t>ВФЧ/ШВ/У/1067</t>
  </si>
  <si>
    <t>Круковець Анна</t>
  </si>
  <si>
    <t>ВФЧ/ШВ/У/1068</t>
  </si>
  <si>
    <t>Петльована Анастасія</t>
  </si>
  <si>
    <t>ВФЧ/ШВ/У/1069</t>
  </si>
  <si>
    <t>Тирса Олег</t>
  </si>
  <si>
    <t>ВФЧ/ШВ/У/1070</t>
  </si>
  <si>
    <t>Борисенко Анастасія</t>
  </si>
  <si>
    <t>ВФЧ/ШВ/У/1071</t>
  </si>
  <si>
    <t>Криворізький Тернівський ліцей Криворізької міської ради</t>
  </si>
  <si>
    <t>Ханченко Дар'я Олегівна  Олим Володимир Євгенович</t>
  </si>
  <si>
    <t>Сулим Тимур</t>
  </si>
  <si>
    <t>ВФЧ/ШВ/У/1072</t>
  </si>
  <si>
    <t>Копійка Микола</t>
  </si>
  <si>
    <t>ВФЧ/ШВ/У/1073</t>
  </si>
  <si>
    <t>Пашковська Софія</t>
  </si>
  <si>
    <t>ВФЧ/ШВ/У/1074</t>
  </si>
  <si>
    <t>Коляса Андрій</t>
  </si>
  <si>
    <t>ВФЧ/ШВ/У/1075</t>
  </si>
  <si>
    <t>Петренко Максим</t>
  </si>
  <si>
    <t>ВФЧ/ШВ/У/1076</t>
  </si>
  <si>
    <t>Жиганова Поліна</t>
  </si>
  <si>
    <t>ВФЧ/ШВ/У/1077</t>
  </si>
  <si>
    <t>Лавренко Данііл</t>
  </si>
  <si>
    <t>ВФЧ/ШВ/У/1078</t>
  </si>
  <si>
    <t>Ярошенко Анастасія</t>
  </si>
  <si>
    <t>ВФЧ/ШВ/У/1079</t>
  </si>
  <si>
    <t>Чернишова Анастасія</t>
  </si>
  <si>
    <t>ВФЧ/ШВ/У/1080</t>
  </si>
  <si>
    <t>Аверчик Карина</t>
  </si>
  <si>
    <t>ВФЧ/ШВ/У/1081</t>
  </si>
  <si>
    <t>Криворізький Центрально-Міський ліцей Криворізької міської ради</t>
  </si>
  <si>
    <t>Хорольська Любов Володимирівна</t>
  </si>
  <si>
    <t>Барсукова Владислава Владиславівна</t>
  </si>
  <si>
    <t>ВФЧ/ШВ/У/1082</t>
  </si>
  <si>
    <t>Дердіященко Нікіта Борисович</t>
  </si>
  <si>
    <t>ВФЧ/ШВ/У/1083</t>
  </si>
  <si>
    <t>Дустова Карина Боймурадівна</t>
  </si>
  <si>
    <t>ВФЧ/ШВ/У/1084</t>
  </si>
  <si>
    <t>Кривенко Катерина Сергіївна</t>
  </si>
  <si>
    <t>ВФЧ/ШВ/У/1085</t>
  </si>
  <si>
    <t>Куліков Богдан Сергійович</t>
  </si>
  <si>
    <t>ВФЧ/ШВ/У/1086</t>
  </si>
  <si>
    <t>Малецький</t>
  </si>
  <si>
    <t>ВФЧ/ШВ/У/1087</t>
  </si>
  <si>
    <t>Паламар Олександра Валентинівна</t>
  </si>
  <si>
    <t>ВФЧ/ШВ/У/1088</t>
  </si>
  <si>
    <t>Скубак Єлизавета Олександрівна</t>
  </si>
  <si>
    <t>ВФЧ/ШВ/У/1089</t>
  </si>
  <si>
    <t>Стеценко Марія Олександрівна</t>
  </si>
  <si>
    <t>ВФЧ/ШВ/У/1090</t>
  </si>
  <si>
    <t>Улітко Христина Олексіївна</t>
  </si>
  <si>
    <t>ВФЧ/ШВ/У/1091</t>
  </si>
  <si>
    <t>Фіцич Маргарита Андріївна</t>
  </si>
  <si>
    <t>ВФЧ/ШВ/У/1092</t>
  </si>
  <si>
    <t>Фурт Кіріл Юрійович</t>
  </si>
  <si>
    <t>ВФЧ/ШВ/У/1093</t>
  </si>
  <si>
    <t>Харахоріна  Уляна Костянтинівна</t>
  </si>
  <si>
    <t>ВФЧ/ШВ/У/1094</t>
  </si>
  <si>
    <t>Хмель Анастасія Олександрівна</t>
  </si>
  <si>
    <t>ВФЧ/ШВ/У/1095</t>
  </si>
  <si>
    <t>Хорольський Іван Юрійович</t>
  </si>
  <si>
    <t>ВФЧ/ШВ/У/1096</t>
  </si>
  <si>
    <t>Криворізький ліцей №127 Криворізької міської ради</t>
  </si>
  <si>
    <t xml:space="preserve">Чернова Людмила Іванівна </t>
  </si>
  <si>
    <t>Андрусик Віолетта Сергіївна</t>
  </si>
  <si>
    <t>ВФЧ/ШВ/У/1097</t>
  </si>
  <si>
    <t>Шаповалова Олена Анатоліївна</t>
  </si>
  <si>
    <t>ВФЧ/ШВ/У/1098</t>
  </si>
  <si>
    <t>Волосюк Марина Миколаївна</t>
  </si>
  <si>
    <t>ВФЧ/ШВ/У/1099</t>
  </si>
  <si>
    <t>Єрмакова Вікторія Вячеславівна</t>
  </si>
  <si>
    <t>ВФЧ/ШВ/У/1100</t>
  </si>
  <si>
    <t>Онищенко Маргарита Михайлівна</t>
  </si>
  <si>
    <t>ВФЧ/ШВ/У/1101</t>
  </si>
  <si>
    <t>Шмідт Кароліна Віталіївна</t>
  </si>
  <si>
    <t>ВФЧ/ШВ/У/1102</t>
  </si>
  <si>
    <t>Євтушенко Марія Петрівна</t>
  </si>
  <si>
    <t>ВФЧ/ШВ/У/1103</t>
  </si>
  <si>
    <t>Коворотуша Карина Ігорівна</t>
  </si>
  <si>
    <t>ВФЧ/ШВ/У/1104</t>
  </si>
  <si>
    <t>Красіка Поліна Сергіївна</t>
  </si>
  <si>
    <t>ВФЧ/ШВ/У/1105</t>
  </si>
  <si>
    <t>Моісеєнко Лілія Віталіївна</t>
  </si>
  <si>
    <t>ВФЧ/ШВ/У/1106</t>
  </si>
  <si>
    <t>Письменна Ангеліна Дмитрівна</t>
  </si>
  <si>
    <t>ВФЧ/ШВ/У/1107</t>
  </si>
  <si>
    <t>Матвійчук Ілона Олександрівна</t>
  </si>
  <si>
    <t>ВФЧ/ШВ/У/1108</t>
  </si>
  <si>
    <t>Степанова  Діана  Іванівна</t>
  </si>
  <si>
    <t>ВФЧ/ШВ/У/1109</t>
  </si>
  <si>
    <t>Шишка Юлія Іванівна</t>
  </si>
  <si>
    <t>ВФЧ/ШВ/У/1110</t>
  </si>
  <si>
    <t>Зоря Данило Вадимович</t>
  </si>
  <si>
    <t>ВФЧ/ШВ/У/1111</t>
  </si>
  <si>
    <t>Пономаренко Маргарита   Ігорівна</t>
  </si>
  <si>
    <t>ВФЧ/ШВ/У/1112</t>
  </si>
  <si>
    <t>Грибанова Варвара Олексіївна</t>
  </si>
  <si>
    <t>ВФЧ/ШВ/У/1113</t>
  </si>
  <si>
    <t>Коржовська Кіра Олегівна</t>
  </si>
  <si>
    <t>ВФЧ/ШВ/У/1114</t>
  </si>
  <si>
    <t>Оніщенко  Єва Богданівна</t>
  </si>
  <si>
    <t>ВФЧ/ШВ/У/1115</t>
  </si>
  <si>
    <t>Ликов Антон Дмитрович</t>
  </si>
  <si>
    <t>ВФЧ/ШВ/У/1116</t>
  </si>
  <si>
    <t>Трофімова Поліна Тімурівна</t>
  </si>
  <si>
    <t>ВФЧ/ШВ/У/1117</t>
  </si>
  <si>
    <t>Комар Євгеній Володимирович</t>
  </si>
  <si>
    <t>ВФЧ/ШВ/У/1118</t>
  </si>
  <si>
    <t>Марганецький ліцей №10 Марганецької міської ради Дніпропетровської області</t>
  </si>
  <si>
    <t>Чорний Віктор Миколайович</t>
  </si>
  <si>
    <t>Бєланова Дарина Павлівна</t>
  </si>
  <si>
    <t>ВФЧ/ШВ/У/1119</t>
  </si>
  <si>
    <t>Новостройна Марія Дмитрівна</t>
  </si>
  <si>
    <t>ВФЧ/ШВ/У/1120</t>
  </si>
  <si>
    <t>Грицуля Дмитро Андрійович</t>
  </si>
  <si>
    <t>ВФЧ/ШВ/У/1121</t>
  </si>
  <si>
    <t>Гудіма Єлизавета Івановна</t>
  </si>
  <si>
    <t>ВФЧ/ШВ/У/1122</t>
  </si>
  <si>
    <t>Нікопольський ліцей №19 Нікопольської міської ради</t>
  </si>
  <si>
    <t>Школьна Вікторія Олександрівна</t>
  </si>
  <si>
    <t>Бевз Анастасія Дмитрівна</t>
  </si>
  <si>
    <t>ВФЧ/ШВ/У/1123</t>
  </si>
  <si>
    <t>Проскуров Ілля Дмитрович</t>
  </si>
  <si>
    <t>ВФЧ/ШВ/У/1124</t>
  </si>
  <si>
    <t>Ябченко Артем Ігорович</t>
  </si>
  <si>
    <t>ВФЧ/ШВ/У/1125</t>
  </si>
  <si>
    <t>Суховильський Тимофій Олександрович</t>
  </si>
  <si>
    <t>ВФЧ/ШВ/У/1126</t>
  </si>
  <si>
    <t>Кімаш Андрій Олександрович</t>
  </si>
  <si>
    <t>ВФЧ/ШВ/У/1127</t>
  </si>
  <si>
    <t>Нікітіна Дар’я Олександрівна</t>
  </si>
  <si>
    <t>ВФЧ/ШВ/У/1128</t>
  </si>
  <si>
    <t>КЗ  "Ліцей №13" Кам'янської міської ради</t>
  </si>
  <si>
    <t>Шматок Алла Василівна</t>
  </si>
  <si>
    <t>Станило Анастасія Євгенівна</t>
  </si>
  <si>
    <t>ВФЧ/ШВ/У/1129</t>
  </si>
  <si>
    <t>Старінцева Катерина Андріївна</t>
  </si>
  <si>
    <t>ВФЧ/ШВ/У/1130</t>
  </si>
  <si>
    <t>Сидоренко Єлизавета Дмитрівна</t>
  </si>
  <si>
    <t>ВФЧ/ШВ/У/1131</t>
  </si>
  <si>
    <t>Линнік Назар Юрійович</t>
  </si>
  <si>
    <t>ВФЧ/ШВ/У/1132</t>
  </si>
  <si>
    <t>Мироненко Ангеліна Сергіївна</t>
  </si>
  <si>
    <t>ВФЧ/ШВ/У/1133</t>
  </si>
  <si>
    <t>Горбатенко Ольга Вадимівна</t>
  </si>
  <si>
    <t>ВФЧ/ШВ/У/1134</t>
  </si>
  <si>
    <t>Бурхович Богдан Вячеславович</t>
  </si>
  <si>
    <t>ВФЧ/ШВ/У/1135</t>
  </si>
  <si>
    <t>Громов Леонід Володимирович</t>
  </si>
  <si>
    <t>ВФЧ/ШВ/У/1136</t>
  </si>
  <si>
    <t>Іваненко Поліна Дмитрівна</t>
  </si>
  <si>
    <t>ВФЧ/ШВ/У/1137</t>
  </si>
  <si>
    <t>Іванюк Максим Євгенович</t>
  </si>
  <si>
    <t>ВФЧ/ШВ/У/1138</t>
  </si>
  <si>
    <t>Моїсеєнко Гліб Максимович</t>
  </si>
  <si>
    <t>ВФЧ/ШВ/У/1139</t>
  </si>
  <si>
    <t>Сичьов Дєніс Вячеславович</t>
  </si>
  <si>
    <t>ВФЧ/ШВ/У/1140</t>
  </si>
  <si>
    <t>Дніпровський ліцей №" 21 «Перспектива» ДМР</t>
  </si>
  <si>
    <t>Яковиніч Тетяна Миколаївна</t>
  </si>
  <si>
    <t>Ардєєв Марк Романович</t>
  </si>
  <si>
    <t>ВФЧ/ШВ/У/1141</t>
  </si>
  <si>
    <t>Богачова Вікторія Іванівна</t>
  </si>
  <si>
    <t>ВФЧ/ШВ/У/1142</t>
  </si>
  <si>
    <t>Бондаренко Марина Артемівна</t>
  </si>
  <si>
    <t>ВФЧ/ШВ/У/1143</t>
  </si>
  <si>
    <t>Бурчак Анна Вадимівна</t>
  </si>
  <si>
    <t>ВФЧ/ШВ/У/1144</t>
  </si>
  <si>
    <t>Вінокурова Софія   Андріївна</t>
  </si>
  <si>
    <t>ВФЧ/ШВ/У/1145</t>
  </si>
  <si>
    <t>Власюк Єва Олександрівна</t>
  </si>
  <si>
    <t>ВФЧ/ШВ/У/1146</t>
  </si>
  <si>
    <t>Горохов Богдан Костянтинович</t>
  </si>
  <si>
    <t>ВФЧ/ШВ/У/1147</t>
  </si>
  <si>
    <t>Десятерик Володимир Сергійович</t>
  </si>
  <si>
    <t>ВФЧ/ШВ/У/1148</t>
  </si>
  <si>
    <t>Дорошева Єлизавета Сергіївна</t>
  </si>
  <si>
    <t>ВФЧ/ШВ/У/1149</t>
  </si>
  <si>
    <t>Дробишевська Анна Євгенівна</t>
  </si>
  <si>
    <t>ВФЧ/ШВ/У/1150</t>
  </si>
  <si>
    <t>Дубовик Анастасія Ігорівна</t>
  </si>
  <si>
    <t>ВФЧ/ШВ/У/1151</t>
  </si>
  <si>
    <t>Ілляшенко Анастасія Олександрівна</t>
  </si>
  <si>
    <t>ВФЧ/ШВ/У/1152</t>
  </si>
  <si>
    <t>Касімов Олександр Русланович</t>
  </si>
  <si>
    <t>ВФЧ/ШВ/У/1153</t>
  </si>
  <si>
    <t>Крандієвська Аліса Олегівна</t>
  </si>
  <si>
    <t>ВФЧ/ШВ/У/1154</t>
  </si>
  <si>
    <t>Кривова Катерина Юріївна</t>
  </si>
  <si>
    <t>ВФЧ/ШВ/У/1155</t>
  </si>
  <si>
    <t>Кукса Марія Олександрівна</t>
  </si>
  <si>
    <t>ВФЧ/ШВ/У/1156</t>
  </si>
  <si>
    <t>Курілець Гліб Ігорович</t>
  </si>
  <si>
    <t>ВФЧ/ШВ/У/1157</t>
  </si>
  <si>
    <t>Лавренко Дмитро Валерійович</t>
  </si>
  <si>
    <t>ВФЧ/ШВ/У/1158</t>
  </si>
  <si>
    <t>Наконечна Олександра Дмитрівна</t>
  </si>
  <si>
    <t>ВФЧ/ШВ/У/1159</t>
  </si>
  <si>
    <t>Нестеренко Дар’я Вадимівна</t>
  </si>
  <si>
    <t>ВФЧ/ШВ/У/1160</t>
  </si>
  <si>
    <t>Полякова Ангеліна Олегівна</t>
  </si>
  <si>
    <t>ВФЧ/ШВ/У/1161</t>
  </si>
  <si>
    <t>Спорняк Яна Федорівна</t>
  </si>
  <si>
    <t>ВФЧ/ШВ/У/1162</t>
  </si>
  <si>
    <t>Стародубцева Софія  Віталіївна</t>
  </si>
  <si>
    <t>ВФЧ/ШВ/У/1163</t>
  </si>
  <si>
    <t>Тетірко Лука Сергійович</t>
  </si>
  <si>
    <t>ВФЧ/ШВ/У/1164</t>
  </si>
  <si>
    <t>Томінець Кароліна Русланівна</t>
  </si>
  <si>
    <t>ВФЧ/ШВ/У/1165</t>
  </si>
  <si>
    <t>Туркова Марта Володимирівна</t>
  </si>
  <si>
    <t>ВФЧ/ШВ/У/1166</t>
  </si>
  <si>
    <t>Храмова Олеся Олегівна</t>
  </si>
  <si>
    <t>ВФЧ/ШВ/У/1167</t>
  </si>
  <si>
    <t>Черненко Лілія Федорівна</t>
  </si>
  <si>
    <t>ВФЧ/ШВ/У/1168</t>
  </si>
  <si>
    <t>Чернявська Заріна Андріївна</t>
  </si>
  <si>
    <t>ВФЧ/ШВ/У/1169</t>
  </si>
  <si>
    <t>Шведова Анастасія Євгенівна</t>
  </si>
  <si>
    <t>ВФЧ/ШВ/У/1170</t>
  </si>
  <si>
    <t>Шевченківський ліцей Славгородської селищної ради Синельниківського району Дніпропетровської області</t>
  </si>
  <si>
    <t>Яма Альона Олександрівна</t>
  </si>
  <si>
    <t>Рошець Дар'я Віорелівна</t>
  </si>
  <si>
    <t>ВФЧ/ШВ/У/1171</t>
  </si>
  <si>
    <t>Єрмоленко Світлана Вікторівна</t>
  </si>
  <si>
    <t>ВФЧ/ШВ/У/1172</t>
  </si>
  <si>
    <t>Ніколаєнко Руслан Олексійович</t>
  </si>
  <si>
    <t>ВФЧ/ШВ/У/1173</t>
  </si>
  <si>
    <t>Іванов Богдан Романович</t>
  </si>
  <si>
    <t>ВФЧ/ШВ/У/1174</t>
  </si>
  <si>
    <t>Слов'янський заклад загальної середньої освіти І-ІІІ ступенів № 1 Слов'янської міської ради Донецької області</t>
  </si>
  <si>
    <t>Анацька Злата  Сергіївна</t>
  </si>
  <si>
    <t>Агафонов Іван</t>
  </si>
  <si>
    <t>ВФЧ/ШВ/У/1175</t>
  </si>
  <si>
    <t>Адамович Вероніка</t>
  </si>
  <si>
    <t>ВФЧ/ШВ/У/1176</t>
  </si>
  <si>
    <t>Бабич Герман</t>
  </si>
  <si>
    <t>ВФЧ/ШВ/У/1177</t>
  </si>
  <si>
    <t>Боговид Крістіна</t>
  </si>
  <si>
    <t>ВФЧ/ШВ/У/1178</t>
  </si>
  <si>
    <t>Бондаренко Аліса</t>
  </si>
  <si>
    <t>ВФЧ/ШВ/У/1179</t>
  </si>
  <si>
    <t>Васильєва Влада</t>
  </si>
  <si>
    <t>ВФЧ/ШВ/У/1180</t>
  </si>
  <si>
    <t>Дорошенко Кирило</t>
  </si>
  <si>
    <t>ВФЧ/ШВ/У/1181</t>
  </si>
  <si>
    <t>Думан Вероніка</t>
  </si>
  <si>
    <t>ВФЧ/ШВ/У/1182</t>
  </si>
  <si>
    <t>Євстаф'єва Софія</t>
  </si>
  <si>
    <t>ВФЧ/ШВ/У/1183</t>
  </si>
  <si>
    <t>Жаданов Ілля</t>
  </si>
  <si>
    <t>ВФЧ/ШВ/У/1184</t>
  </si>
  <si>
    <t>Журба Богдана</t>
  </si>
  <si>
    <t>ВФЧ/ШВ/У/1185</t>
  </si>
  <si>
    <t>Зубенко Михайло</t>
  </si>
  <si>
    <t>ВФЧ/ШВ/У/1186</t>
  </si>
  <si>
    <t>Крисіна Дар'я</t>
  </si>
  <si>
    <t>ВФЧ/ШВ/У/1187</t>
  </si>
  <si>
    <t>Кулик Вікторія</t>
  </si>
  <si>
    <t>ВФЧ/ШВ/У/1188</t>
  </si>
  <si>
    <t>Кушнарьов Тимур</t>
  </si>
  <si>
    <t>ВФЧ/ШВ/У/1189</t>
  </si>
  <si>
    <t>Макогон Ганна</t>
  </si>
  <si>
    <t>ВФЧ/ШВ/У/1190</t>
  </si>
  <si>
    <t>Поклонова Анастасія</t>
  </si>
  <si>
    <t>ВФЧ/ШВ/У/1191</t>
  </si>
  <si>
    <t>Сапотніцька Єва</t>
  </si>
  <si>
    <t>ВФЧ/ШВ/У/1192</t>
  </si>
  <si>
    <t>Сігетій Мирослав</t>
  </si>
  <si>
    <t>ВФЧ/ШВ/У/1193</t>
  </si>
  <si>
    <t>Стрижак Григорій</t>
  </si>
  <si>
    <t>ВФЧ/ШВ/У/1194</t>
  </si>
  <si>
    <t>Толстих Ілля</t>
  </si>
  <si>
    <t>ВФЧ/ШВ/У/1195</t>
  </si>
  <si>
    <t>Чернявська Таїсія</t>
  </si>
  <si>
    <t>ВФЧ/ШВ/У/1196</t>
  </si>
  <si>
    <t>Костянтинопільський ЗЗСО І-ІІІ ступенів Великоновосілківської селищної ради Волноваського району Донецької області</t>
  </si>
  <si>
    <t>Бойко Тетяна Петрівна</t>
  </si>
  <si>
    <t>Шаповалова Валерія Іванівна</t>
  </si>
  <si>
    <t>ВФЧ/ШВ/У/1197</t>
  </si>
  <si>
    <t>Пацай Артем Вікторович</t>
  </si>
  <si>
    <t>ВФЧ/ШВ/У/1198</t>
  </si>
  <si>
    <t>Прохоренко Альбіна Дмитрівна</t>
  </si>
  <si>
    <t>ВФЧ/ШВ/У/1199</t>
  </si>
  <si>
    <t>Комунальний заклад "Маріупольська загальноосвітня школа І-ІІІ ступенів № 47 Маріупольської міської ради Донецької області"</t>
  </si>
  <si>
    <t>Добровольська Світлана Вікторівна</t>
  </si>
  <si>
    <t>Попова Ніколь Олегівна</t>
  </si>
  <si>
    <t>ВФЧ/ШВ/У/1200</t>
  </si>
  <si>
    <t>Щербань Євніка Андріївна</t>
  </si>
  <si>
    <t>ВФЧ/ШВ/У/1201</t>
  </si>
  <si>
    <t>Єськова Вероніка Владиславівна</t>
  </si>
  <si>
    <t>ВФЧ/ШВ/У/1202</t>
  </si>
  <si>
    <t>Корнєв Денис Олександрович</t>
  </si>
  <si>
    <t>ВФЧ/ШВ/У/1203</t>
  </si>
  <si>
    <t>Слов'янський педагогічний ліцей Слов'янської міської ради Донецької області</t>
  </si>
  <si>
    <t>Клименко Олена Вікторівна</t>
  </si>
  <si>
    <t>Абрамов Серафим Євгенович</t>
  </si>
  <si>
    <t>ВФЧ/ШВ/У/1204</t>
  </si>
  <si>
    <t>Астахов Гліб Денисович</t>
  </si>
  <si>
    <t>ВФЧ/ШВ/У/1205</t>
  </si>
  <si>
    <t>Бутенко Микита Володимирович</t>
  </si>
  <si>
    <t>ВФЧ/ШВ/У/1206</t>
  </si>
  <si>
    <t>Волков Степан Володимирович</t>
  </si>
  <si>
    <t>ВФЧ/ШВ/У/1207</t>
  </si>
  <si>
    <t>Гавриш Ярослава Денисівна</t>
  </si>
  <si>
    <t>ВФЧ/ШВ/У/1208</t>
  </si>
  <si>
    <t>Гусєва Марія Андріївна</t>
  </si>
  <si>
    <t>ВФЧ/ШВ/У/1209</t>
  </si>
  <si>
    <t>Даниленко Дар'я Сергіївна</t>
  </si>
  <si>
    <t>ВФЧ/ШВ/У/1210</t>
  </si>
  <si>
    <t>Дорошенко Дар'я Олександрівна</t>
  </si>
  <si>
    <t>ВФЧ/ШВ/У/1211</t>
  </si>
  <si>
    <t>Мішина Марія Максимівна</t>
  </si>
  <si>
    <t>ВФЧ/ШВ/У/1212</t>
  </si>
  <si>
    <t>Резнікова Олександра Олександрівна</t>
  </si>
  <si>
    <t>ВФЧ/ШВ/У/1213</t>
  </si>
  <si>
    <t>Сбітнєва Ольга Андріївна</t>
  </si>
  <si>
    <t>ВФЧ/ШВ/У/1214</t>
  </si>
  <si>
    <t>Сушкіна Анастасія Андріївна</t>
  </si>
  <si>
    <t>ВФЧ/ШВ/У/1215</t>
  </si>
  <si>
    <t>Черненко Ніколь Максимівна</t>
  </si>
  <si>
    <t>ВФЧ/ШВ/У/1216</t>
  </si>
  <si>
    <t>Шаповалова Анастасія Олександрівна</t>
  </si>
  <si>
    <t>ВФЧ/ШВ/У/1217</t>
  </si>
  <si>
    <t xml:space="preserve">Навчально-виховний комплекс "Ліцей із загальноосвітньою школою I-III ступенів" </t>
  </si>
  <si>
    <t>Козлова Елеонора Бахтіярівна</t>
  </si>
  <si>
    <t>Бондаренко Ілля Сергійович</t>
  </si>
  <si>
    <t>ВФЧ/ШВ/У/1218</t>
  </si>
  <si>
    <t>Трехлебова Софія Сергіївна</t>
  </si>
  <si>
    <t>ВФЧ/ШВ/У/1219</t>
  </si>
  <si>
    <t>Брщук Дарина Олександрівна</t>
  </si>
  <si>
    <t>ВФЧ/ШВ/У/1220</t>
  </si>
  <si>
    <t>Дубець Олег Євгенійович</t>
  </si>
  <si>
    <t>ВФЧ/ШВ/У/1221</t>
  </si>
  <si>
    <t>Петровська Ганна Михайлівна</t>
  </si>
  <si>
    <t>ВФЧ/ШВ/У/1222</t>
  </si>
  <si>
    <t>Воронов Назар Сергійович</t>
  </si>
  <si>
    <t>ВФЧ/ШВ/У/1223</t>
  </si>
  <si>
    <t>Гаврілов Валерій Михайлович</t>
  </si>
  <si>
    <t>ВФЧ/ШВ/У/1224</t>
  </si>
  <si>
    <t>Зорянський заклад загальної середньої освіти I-III ступенів Мар'їнської міської військово-цивільної адміністрації Покровського району Донецької області</t>
  </si>
  <si>
    <t>Міщенко Сергій Анатолійович</t>
  </si>
  <si>
    <t>Літовко Артур Вікторович</t>
  </si>
  <si>
    <t>ВФЧ/ШВ/У/1225</t>
  </si>
  <si>
    <t>Іляшенко Олександр Євгенович</t>
  </si>
  <si>
    <t>ВФЧ/ШВ/У/1226</t>
  </si>
  <si>
    <t>Зінчук Святослав Олегович</t>
  </si>
  <si>
    <t>ВФЧ/ШВ/У/1227</t>
  </si>
  <si>
    <t>Великоновосілківська гімназія з загальноосвітньою школою І ступеня Великоновосілківської селищної ради</t>
  </si>
  <si>
    <t>Савченко Інна Миколаївна</t>
  </si>
  <si>
    <t>Кудерко Костянтин Андрійович</t>
  </si>
  <si>
    <t>ВФЧ/ШВ/У/1228</t>
  </si>
  <si>
    <t>Шиліна Крістіна Віталіївна</t>
  </si>
  <si>
    <t>ВФЧ/ШВ/У/1229</t>
  </si>
  <si>
    <t>Карташова Анастасія Олегівна</t>
  </si>
  <si>
    <t>ВФЧ/ШВ/У/1230</t>
  </si>
  <si>
    <t>Карташова Любов Олегівна</t>
  </si>
  <si>
    <t>ВФЧ/ШВ/У/1231</t>
  </si>
  <si>
    <t>Відокремлений підрозділ "Науковий ліцей" Державного університету "Житомирська політехніка"</t>
  </si>
  <si>
    <t>Голяченко Оксана Олегівна</t>
  </si>
  <si>
    <t>Головня Аліна Андріївна</t>
  </si>
  <si>
    <t>ВФЧ/ШВ/У/1232</t>
  </si>
  <si>
    <t>Ярошенко Мирослава Андріївна</t>
  </si>
  <si>
    <t>ВФЧ/ШВ/У/1233</t>
  </si>
  <si>
    <t>Данченко Нікіта Юрійович</t>
  </si>
  <si>
    <t>ВФЧ/ШВ/У/1234</t>
  </si>
  <si>
    <t>Козир Ілля  Романович</t>
  </si>
  <si>
    <t>ВФЧ/ШВ/У/1235</t>
  </si>
  <si>
    <t>Усачова Олександра Денисівна</t>
  </si>
  <si>
    <t>ВФЧ/ШВ/У/1236</t>
  </si>
  <si>
    <t>Погружальський Антон Валентинович</t>
  </si>
  <si>
    <t>ВФЧ/ШВ/У/1237</t>
  </si>
  <si>
    <t>Теплюк Дмитро Леонідович</t>
  </si>
  <si>
    <t>ВФЧ/ШВ/У/1238</t>
  </si>
  <si>
    <t>Побокін Єгор Олексійович</t>
  </si>
  <si>
    <t>ВФЧ/ШВ/У/1239</t>
  </si>
  <si>
    <t>Грозинський ліцей</t>
  </si>
  <si>
    <t>Лукашенко Людмила Володимирівна</t>
  </si>
  <si>
    <t>Фещенко Ангеліна Миколаївна</t>
  </si>
  <si>
    <t>ВФЧ/ШВ/У/1240</t>
  </si>
  <si>
    <t>Сервінська Марія Вадимівна</t>
  </si>
  <si>
    <t>ВФЧ/ШВ/У/1241</t>
  </si>
  <si>
    <t>Ходаківський Володимир Миколайович</t>
  </si>
  <si>
    <t>ВФЧ/ШВ/У/1242</t>
  </si>
  <si>
    <t>Камінська Аліна Вікторівна</t>
  </si>
  <si>
    <t>ВФЧ/ШВ/У/1243</t>
  </si>
  <si>
    <t>Корчемной Артем Васильович</t>
  </si>
  <si>
    <t>ВФЧ/ШВ/У/1244</t>
  </si>
  <si>
    <t>Мукачівська ЗОШ І-ІІІ ступенів №7</t>
  </si>
  <si>
    <t>Вожжов Сергій Анатолійович</t>
  </si>
  <si>
    <t>Балаж Юлія</t>
  </si>
  <si>
    <t>ВФЧ/ШВ/У/1245</t>
  </si>
  <si>
    <t>Берецькі Дарина</t>
  </si>
  <si>
    <t>ВФЧ/ШВ/У/1246</t>
  </si>
  <si>
    <t>Віраг Олександр</t>
  </si>
  <si>
    <t>ВФЧ/ШВ/У/1247</t>
  </si>
  <si>
    <t>Глаголич Олександр</t>
  </si>
  <si>
    <t>ВФЧ/ШВ/У/1248</t>
  </si>
  <si>
    <t>Грещук Анастасія</t>
  </si>
  <si>
    <t>ВФЧ/ШВ/У/1249</t>
  </si>
  <si>
    <t>Гуртов Ілля</t>
  </si>
  <si>
    <t>ВФЧ/ШВ/У/1250</t>
  </si>
  <si>
    <t>Клейнер Амелія-Руслана</t>
  </si>
  <si>
    <t>ВФЧ/ШВ/У/1251</t>
  </si>
  <si>
    <t>Коротіна Соф'я</t>
  </si>
  <si>
    <t>ВФЧ/ШВ/У/1252</t>
  </si>
  <si>
    <t>Кучеренко Дар'я</t>
  </si>
  <si>
    <t>ВФЧ/ШВ/У/1253</t>
  </si>
  <si>
    <t>Марценяк Валерій</t>
  </si>
  <si>
    <t>ВФЧ/ШВ/У/1254</t>
  </si>
  <si>
    <t>Ольшанська Олександра</t>
  </si>
  <si>
    <t>ВФЧ/ШВ/У/1255</t>
  </si>
  <si>
    <t>Орос Девід</t>
  </si>
  <si>
    <t>ВФЧ/ШВ/У/1256</t>
  </si>
  <si>
    <t>Панченко Аделіна</t>
  </si>
  <si>
    <t>ВФЧ/ШВ/У/1257</t>
  </si>
  <si>
    <t>Пензелик Дмитро</t>
  </si>
  <si>
    <t>ВФЧ/ШВ/У/1258</t>
  </si>
  <si>
    <t>Секереш Емілія</t>
  </si>
  <si>
    <t>ВФЧ/ШВ/У/1259</t>
  </si>
  <si>
    <t>Харченко Євгеній</t>
  </si>
  <si>
    <t>ВФЧ/ШВ/У/1260</t>
  </si>
  <si>
    <t>Чорій Євген</t>
  </si>
  <si>
    <t>ВФЧ/ШВ/У/1261</t>
  </si>
  <si>
    <t>Юска Єлізавета</t>
  </si>
  <si>
    <t>ВФЧ/ШВ/У/1262</t>
  </si>
  <si>
    <t>Рахівський заклад загальної середньої освіти І-ІІІ ступенів №3</t>
  </si>
  <si>
    <t>Козурак Галина Петрівна</t>
  </si>
  <si>
    <t>Беркела Сергій Юрійович</t>
  </si>
  <si>
    <t>ВФЧ/ШВ/У/1263</t>
  </si>
  <si>
    <t>Бойко Павло Васильович</t>
  </si>
  <si>
    <t>ВФЧ/ШВ/У/1264</t>
  </si>
  <si>
    <t>Вайнагій Вікторія Русланівна</t>
  </si>
  <si>
    <t>ВФЧ/ШВ/У/1265</t>
  </si>
  <si>
    <t>Вурста Іван Володимирович</t>
  </si>
  <si>
    <t>ВФЧ/ШВ/У/1266</t>
  </si>
  <si>
    <t>Годван Сергій Іванович</t>
  </si>
  <si>
    <t>ВФЧ/ШВ/У/1267</t>
  </si>
  <si>
    <t>Гощук Неля Юріївна</t>
  </si>
  <si>
    <t>ВФЧ/ШВ/У/1268</t>
  </si>
  <si>
    <t>Клочуряк Юрій Юрійович</t>
  </si>
  <si>
    <t>ВФЧ/ШВ/У/1269</t>
  </si>
  <si>
    <t>Кувік Любомир Миколайович</t>
  </si>
  <si>
    <t>ВФЧ/ШВ/У/1270</t>
  </si>
  <si>
    <t>Кузик Ілона Юріївна</t>
  </si>
  <si>
    <t>ВФЧ/ШВ/У/1271</t>
  </si>
  <si>
    <t>Мандзюк Софія Василівна</t>
  </si>
  <si>
    <t>ВФЧ/ШВ/У/1272</t>
  </si>
  <si>
    <t>Підмалівська Ольга Павлівна</t>
  </si>
  <si>
    <t>ВФЧ/ШВ/У/1273</t>
  </si>
  <si>
    <t>Пінтера Анастасія Миколаївна</t>
  </si>
  <si>
    <t>ВФЧ/ШВ/У/1274</t>
  </si>
  <si>
    <t>Полянська Ірина Василівна</t>
  </si>
  <si>
    <t>ВФЧ/ШВ/У/1275</t>
  </si>
  <si>
    <t>Пріц Меланія Василівна</t>
  </si>
  <si>
    <t>ВФЧ/ШВ/У/1276</t>
  </si>
  <si>
    <t>Сидора Андрій Васильович</t>
  </si>
  <si>
    <t>ВФЧ/ШВ/У/1277</t>
  </si>
  <si>
    <t>Юращук Ангеліна Володимирівна</t>
  </si>
  <si>
    <t>ВФЧ/ШВ/У/1278</t>
  </si>
  <si>
    <t>Романюк Володимир Володимирович</t>
  </si>
  <si>
    <t>ВФЧ/ШВ/У/1279</t>
  </si>
  <si>
    <t>Нижньоселищенський ліцей Хустської міської ради</t>
  </si>
  <si>
    <t>Хмара Галина Михайлівна</t>
  </si>
  <si>
    <t>Біроваш Іванка Михайлівна</t>
  </si>
  <si>
    <t>ВФЧ/ШВ/У/1280</t>
  </si>
  <si>
    <t>Гангур Вікторія Іванівна</t>
  </si>
  <si>
    <t>ВФЧ/ШВ/У/1281</t>
  </si>
  <si>
    <t>Довбака Ангеліна Юріївна</t>
  </si>
  <si>
    <t>ВФЧ/ШВ/У/1282</t>
  </si>
  <si>
    <t>Конар Надія Іванівна</t>
  </si>
  <si>
    <t>ВФЧ/ШВ/У/1283</t>
  </si>
  <si>
    <t>Король Христина Василівна</t>
  </si>
  <si>
    <t>ВФЧ/ШВ/У/1284</t>
  </si>
  <si>
    <t>Малета Олена Василівна</t>
  </si>
  <si>
    <t>ВФЧ/ШВ/У/1285</t>
  </si>
  <si>
    <t>Подолей Анастасія Іванівна</t>
  </si>
  <si>
    <t>ВФЧ/ШВ/У/1286</t>
  </si>
  <si>
    <t>Пригара Михайло Михайлович</t>
  </si>
  <si>
    <t>ВФЧ/ШВ/У/1287</t>
  </si>
  <si>
    <t>Русанюк Ірина Дмитрівна</t>
  </si>
  <si>
    <t>ВФЧ/ШВ/У/1288</t>
  </si>
  <si>
    <t>Сливка Дарія Віталіївна</t>
  </si>
  <si>
    <t>ВФЧ/ШВ/У/1289</t>
  </si>
  <si>
    <t>Шутко Ірина Василівна</t>
  </si>
  <si>
    <t>ВФЧ/ШВ/У/1290</t>
  </si>
  <si>
    <t>Воловецький ліцей Воловецької селищної ради Мукачівського району</t>
  </si>
  <si>
    <t>Юрциба Людмила Михайлівна</t>
  </si>
  <si>
    <t>Євстігнєєва Едіта Олексіївна</t>
  </si>
  <si>
    <t>ВФЧ/ШВ/У/1291</t>
  </si>
  <si>
    <t>Гряділь Євген Олександрович</t>
  </si>
  <si>
    <t>ВФЧ/ШВ/У/1292</t>
  </si>
  <si>
    <t>Глуханює Юлія Іванівна</t>
  </si>
  <si>
    <t>ВФЧ/ШВ/У/1293</t>
  </si>
  <si>
    <t>Запорізький академічний ліцей № 34 Запорізької міської ради</t>
  </si>
  <si>
    <t>Ільїна Марина Євгеніївна</t>
  </si>
  <si>
    <t>Фролова Уляна Сергіївна</t>
  </si>
  <si>
    <t>ВФЧ/ШВ/У/1294</t>
  </si>
  <si>
    <t>Філоненко Давид Сергійович</t>
  </si>
  <si>
    <t>ВФЧ/ШВ/У/1295</t>
  </si>
  <si>
    <t>Таран Олександр Олександрович</t>
  </si>
  <si>
    <t>ВФЧ/ШВ/У/1296</t>
  </si>
  <si>
    <t>Аміна Перепічка</t>
  </si>
  <si>
    <t>ВФЧ/ШВ/У/1297</t>
  </si>
  <si>
    <t>Осипенко Поліна Олександрівна</t>
  </si>
  <si>
    <t>ВФЧ/ШВ/У/1298</t>
  </si>
  <si>
    <t>Куракова Єлизавета Олександрівна</t>
  </si>
  <si>
    <t>ВФЧ/ШВ/У/1299</t>
  </si>
  <si>
    <t>Дмитрова Софія Олегівна</t>
  </si>
  <si>
    <t>ВФЧ/ШВ/У/1300</t>
  </si>
  <si>
    <t>Гук Марія Юріївна</t>
  </si>
  <si>
    <t>ВФЧ/ШВ/У/1301</t>
  </si>
  <si>
    <t>Білокобильська Анастасія Сергіївна</t>
  </si>
  <si>
    <t>ВФЧ/ШВ/У/1302</t>
  </si>
  <si>
    <t>Бацій Ельвіра Сергіївна</t>
  </si>
  <si>
    <t>ВФЧ/ШВ/У/1303</t>
  </si>
  <si>
    <t>Коваленко Вероніка Дмитрівна</t>
  </si>
  <si>
    <t>ВФЧ/ШВ/У/1304</t>
  </si>
  <si>
    <t>Кущ Софія Олегівна</t>
  </si>
  <si>
    <t>ВФЧ/ШВ/У/1305</t>
  </si>
  <si>
    <t>Москаленко Артем Олександрович</t>
  </si>
  <si>
    <t>ВФЧ/ШВ/У/1306</t>
  </si>
  <si>
    <t>Пархоменко Давид Дмитрович</t>
  </si>
  <si>
    <t>ВФЧ/ШВ/У/1307</t>
  </si>
  <si>
    <t>Пилипенко Богдан Вікторович</t>
  </si>
  <si>
    <t>ВФЧ/ШВ/У/1308</t>
  </si>
  <si>
    <t>Бережна Таїсія Андріївна</t>
  </si>
  <si>
    <t>ВФЧ/ШВ/У/1309</t>
  </si>
  <si>
    <t>Вайло Анна Сергіївна</t>
  </si>
  <si>
    <t>ВФЧ/ШВ/У/1310</t>
  </si>
  <si>
    <t>Грибачов Владислав Олександрович</t>
  </si>
  <si>
    <t>ВФЧ/ШВ/У/1311</t>
  </si>
  <si>
    <t>Ковтун Надія Андріївна</t>
  </si>
  <si>
    <t>ВФЧ/ШВ/У/1312</t>
  </si>
  <si>
    <t>Костюкова Анна Олександрівна</t>
  </si>
  <si>
    <t>ВФЧ/ШВ/У/1313</t>
  </si>
  <si>
    <t>Манагарова Валерія Сергіївна</t>
  </si>
  <si>
    <t>ВФЧ/ШВ/У/1314</t>
  </si>
  <si>
    <t>Пархоменко Микита Миколайович</t>
  </si>
  <si>
    <t>ВФЧ/ШВ/У/1315</t>
  </si>
  <si>
    <t>Сагач Дарʼя Віталіївна</t>
  </si>
  <si>
    <t>ВФЧ/ШВ/У/1316</t>
  </si>
  <si>
    <t>Ткаченк Максим Євгенович</t>
  </si>
  <si>
    <t>ВФЧ/ШВ/У/1317</t>
  </si>
  <si>
    <t>Троян Ярина Владиславівна</t>
  </si>
  <si>
    <t>ВФЧ/ШВ/У/1318</t>
  </si>
  <si>
    <t>Феленко Михайло Ігорович</t>
  </si>
  <si>
    <t>ВФЧ/ШВ/У/1319</t>
  </si>
  <si>
    <t>Феленко Олександр Ігоревич</t>
  </si>
  <si>
    <t>ВФЧ/ШВ/У/1320</t>
  </si>
  <si>
    <t>Христич Анна Андріївна</t>
  </si>
  <si>
    <t>ВФЧ/ШВ/У/1321</t>
  </si>
  <si>
    <t>Запорізька суспільно-гуманітарна гімназія № 27 Запорізької міської ради Запорізької області</t>
  </si>
  <si>
    <t>Линенко Андрій Володимирович</t>
  </si>
  <si>
    <t>Алі Софія</t>
  </si>
  <si>
    <t>ВФЧ/ШВ/У/1322</t>
  </si>
  <si>
    <t>Ламаш Яна</t>
  </si>
  <si>
    <t>ВФЧ/ШВ/У/1323</t>
  </si>
  <si>
    <t>Лєонова Наталія</t>
  </si>
  <si>
    <t>ВФЧ/ШВ/У/1324</t>
  </si>
  <si>
    <t>Редька Марія</t>
  </si>
  <si>
    <t>ВФЧ/ШВ/У/1325</t>
  </si>
  <si>
    <t>Семенова Аделіна</t>
  </si>
  <si>
    <t>ВФЧ/ШВ/У/1326</t>
  </si>
  <si>
    <t>Азаров Кирило</t>
  </si>
  <si>
    <t>ВФЧ/ШВ/У/1327</t>
  </si>
  <si>
    <t>Попова Ксенія</t>
  </si>
  <si>
    <t>ВФЧ/ШВ/У/1328</t>
  </si>
  <si>
    <t>Сергеєва Римма</t>
  </si>
  <si>
    <t>ВФЧ/ШВ/У/1329</t>
  </si>
  <si>
    <t>Тихоновська Вікторія</t>
  </si>
  <si>
    <t>ВФЧ/ШВ/У/1330</t>
  </si>
  <si>
    <t>Чорна Алла</t>
  </si>
  <si>
    <t>ВФЧ/ШВ/У/1331</t>
  </si>
  <si>
    <t xml:space="preserve">Комунальний заклад загальної середньої освіти "Балабинський ліцей "Престиж" Кушугумської селищної ради Запорізького району Запорізької області </t>
  </si>
  <si>
    <t>Пересунько Тетяна Миколаївна</t>
  </si>
  <si>
    <t>Охріменко Анна Вікторівна</t>
  </si>
  <si>
    <t>ВФЧ/ШВ/У/1332</t>
  </si>
  <si>
    <t>Чупрікова Ксенія Максимівна</t>
  </si>
  <si>
    <t>ВФЧ/ШВ/У/1333</t>
  </si>
  <si>
    <t>Компанієць Владислав Олексійович</t>
  </si>
  <si>
    <t>ВФЧ/ШВ/У/1334</t>
  </si>
  <si>
    <t>Гімон Артем Дмитрович</t>
  </si>
  <si>
    <t>ВФЧ/ШВ/У/1335</t>
  </si>
  <si>
    <t>Квятковський Єгор Юрійович</t>
  </si>
  <si>
    <t>ВФЧ/ШВ/У/1336</t>
  </si>
  <si>
    <t>Коштовна Анна Віталіївна</t>
  </si>
  <si>
    <t>ВФЧ/ШВ/У/1337</t>
  </si>
  <si>
    <t>Передерій Аліна Олександрівна</t>
  </si>
  <si>
    <t>ВФЧ/ШВ/У/1338</t>
  </si>
  <si>
    <t>Самошкін Єгор Павлович</t>
  </si>
  <si>
    <t>ВФЧ/ШВ/У/1339</t>
  </si>
  <si>
    <t>Стороженко Уляна Вадимівна</t>
  </si>
  <si>
    <t>ВФЧ/ШВ/У/1340</t>
  </si>
  <si>
    <t>Тітовська Марта Романівна</t>
  </si>
  <si>
    <t>ВФЧ/ШВ/У/1341</t>
  </si>
  <si>
    <t>Хрищанович Гєрман Андрійович</t>
  </si>
  <si>
    <t>ВФЧ/ШВ/У/1342</t>
  </si>
  <si>
    <t>Чеботарь Єлизавета Петрівна</t>
  </si>
  <si>
    <t>ВФЧ/ШВ/У/1343</t>
  </si>
  <si>
    <t>Чурсін Дмитро Олексійович</t>
  </si>
  <si>
    <t>ВФЧ/ШВ/У/1344</t>
  </si>
  <si>
    <t>Комунальний заклад «Матвіївська загальноосвітня санаторна школа-інтернат І-ІІІ ступенів» Запорізької обласної ради</t>
  </si>
  <si>
    <t>Проценко Олена Вікторівна</t>
  </si>
  <si>
    <t>Земляна Катерина Олексіївна</t>
  </si>
  <si>
    <t>ВФЧ/ШВ/У/1345</t>
  </si>
  <si>
    <t>Наточина Вєнєра Бурчавна</t>
  </si>
  <si>
    <t>ВФЧ/ШВ/У/1346</t>
  </si>
  <si>
    <t>Іванов Олексій Олексійович</t>
  </si>
  <si>
    <t>ВФЧ/ШВ/У/1347</t>
  </si>
  <si>
    <t>Молдован Кіріл Денисович</t>
  </si>
  <si>
    <t>ВФЧ/ШВ/У/1348</t>
  </si>
  <si>
    <t>Кандиба Єлизавета Сергіївна</t>
  </si>
  <si>
    <t>ВФЧ/ШВ/У/1349</t>
  </si>
  <si>
    <t>Опорний заклад освіти "Матвіївський загальноосвітній навчально-виховний комплекс "Всесвіт" Матвіївської сільської ради</t>
  </si>
  <si>
    <t>Свиридова Тетяна Юріївна</t>
  </si>
  <si>
    <t>Стрілець Діана Вікторівна</t>
  </si>
  <si>
    <t>ВФЧ/ШВ/У/1350</t>
  </si>
  <si>
    <t>Гупалік Данііл Віталійович</t>
  </si>
  <si>
    <t>ВФЧ/ШВ/У/1351</t>
  </si>
  <si>
    <t>Кононенко Руслан Олександрович</t>
  </si>
  <si>
    <t>ВФЧ/ШВ/У/1352</t>
  </si>
  <si>
    <t>Тимошенко Руслан Вячеславович</t>
  </si>
  <si>
    <t>ВФЧ/ШВ/У/1353</t>
  </si>
  <si>
    <t>Міхалаш Анастасія Євгенівна</t>
  </si>
  <si>
    <t>ВФЧ/ШВ/У/1354</t>
  </si>
  <si>
    <t>Смоляр Софія Денисівна</t>
  </si>
  <si>
    <t>ВФЧ/ШВ/У/1355</t>
  </si>
  <si>
    <t>Калюжний Сергій Юрійович</t>
  </si>
  <si>
    <t>ВФЧ/ШВ/У/1356</t>
  </si>
  <si>
    <t>Рабешко Віталій Вадимович</t>
  </si>
  <si>
    <t>ВФЧ/ШВ/У/1357</t>
  </si>
  <si>
    <t>Ліцей "Успіх" Вільнянської міської ради Запорізької області</t>
  </si>
  <si>
    <t>Скотаренко Анна Володимирівна</t>
  </si>
  <si>
    <t>Корніленкова Єлизавета Євгенівна</t>
  </si>
  <si>
    <t>ВФЧ/ШВ/У/1358</t>
  </si>
  <si>
    <t>Басова Катерина Андріївна</t>
  </si>
  <si>
    <t>ВФЧ/ШВ/У/1359</t>
  </si>
  <si>
    <t>Бродянська Мілана Юріївна</t>
  </si>
  <si>
    <t>ВФЧ/ШВ/У/1360</t>
  </si>
  <si>
    <t>Букач Вікторія Вікторівна</t>
  </si>
  <si>
    <t>ВФЧ/ШВ/У/1361</t>
  </si>
  <si>
    <t>Лаєвський Євгеній Андрійович</t>
  </si>
  <si>
    <t>ВФЧ/ШВ/У/1362</t>
  </si>
  <si>
    <t>Нестеренко Олена Сергіївна</t>
  </si>
  <si>
    <t>ВФЧ/ШВ/У/1363</t>
  </si>
  <si>
    <t>Ріжок Артур Михайлович</t>
  </si>
  <si>
    <t>ВФЧ/ШВ/У/1364</t>
  </si>
  <si>
    <t>Капралов Олександр Володимирович</t>
  </si>
  <si>
    <t>ВФЧ/ШВ/У/1365</t>
  </si>
  <si>
    <t>Комунальний заклад загальної середньої освіти "Малокатеринівська гімназія "Мрія" Кушугумської селищної ради Запорізького району Запорізької області</t>
  </si>
  <si>
    <t>Хвостенко Альона Юріївна</t>
  </si>
  <si>
    <t>Біла Анастасія Дмитрівна</t>
  </si>
  <si>
    <t>ВФЧ/ШВ/У/1366</t>
  </si>
  <si>
    <t>Притула Давид Віталійович</t>
  </si>
  <si>
    <t>ВФЧ/ШВ/У/1367</t>
  </si>
  <si>
    <t>Яцева Мар'яна Едуардівна</t>
  </si>
  <si>
    <t>ВФЧ/ШВ/У/1368</t>
  </si>
  <si>
    <t>Булана Ксенія Вадимівна</t>
  </si>
  <si>
    <t>ВФЧ/ШВ/У/1369</t>
  </si>
  <si>
    <t>Прокопович Дмитро Олексійович</t>
  </si>
  <si>
    <t>ВФЧ/ШВ/У/1370</t>
  </si>
  <si>
    <t>Хитрик Юлія Денисівна</t>
  </si>
  <si>
    <t>ВФЧ/ШВ/У/1371</t>
  </si>
  <si>
    <t>Краснікова Аліна Віталіївна</t>
  </si>
  <si>
    <t>ВФЧ/ШВ/У/1372</t>
  </si>
  <si>
    <t>Дичок Вячеслав Євгенійович</t>
  </si>
  <si>
    <t>ВФЧ/ШВ/У/1373</t>
  </si>
  <si>
    <t>Запорізька гімназія №107 Запорізької міської ради Запорізької області</t>
  </si>
  <si>
    <t>Черьомухіна Альона Олександрівна</t>
  </si>
  <si>
    <t>Куртов Артем Віталійович</t>
  </si>
  <si>
    <t>ВФЧ/ШВ/У/1374</t>
  </si>
  <si>
    <t>Зудов Ярослав Артемович</t>
  </si>
  <si>
    <t>ВФЧ/ШВ/У/1375</t>
  </si>
  <si>
    <t>Великотур'янський ліцей Долинської міської ради Івано-Франківської області</t>
  </si>
  <si>
    <t>Бабінець Надія Василівна</t>
  </si>
  <si>
    <t>Беца Соломія Василівна</t>
  </si>
  <si>
    <t>ВФЧ/ШВ/У/1376</t>
  </si>
  <si>
    <t>Горін Софія Василівна</t>
  </si>
  <si>
    <t>ВФЧ/ШВ/У/1377</t>
  </si>
  <si>
    <t>Дзуль Андріана Володимирівна</t>
  </si>
  <si>
    <t>ВФЧ/ШВ/У/1378</t>
  </si>
  <si>
    <t>Камінецька Анна Володимирівна</t>
  </si>
  <si>
    <t>ВФЧ/ШВ/У/1379</t>
  </si>
  <si>
    <t>Крайник Діана Любомирівна</t>
  </si>
  <si>
    <t>ВФЧ/ШВ/У/1380</t>
  </si>
  <si>
    <t>Крайник Захар Володимирович</t>
  </si>
  <si>
    <t>ВФЧ/ШВ/У/1381</t>
  </si>
  <si>
    <t>Крайник Роксолана Василівна</t>
  </si>
  <si>
    <t>ВФЧ/ШВ/У/1382</t>
  </si>
  <si>
    <t>Крайник Степан Романович</t>
  </si>
  <si>
    <t>ВФЧ/ШВ/У/1383</t>
  </si>
  <si>
    <t>Куш Ліана Ігорівна</t>
  </si>
  <si>
    <t>ВФЧ/ШВ/У/1384</t>
  </si>
  <si>
    <t>Матрунчик Оксана Леонідівна</t>
  </si>
  <si>
    <t>ВФЧ/ШВ/У/1385</t>
  </si>
  <si>
    <t>Мельник Захар Михайлович</t>
  </si>
  <si>
    <t>ВФЧ/ШВ/У/1386</t>
  </si>
  <si>
    <t>Мельник Ярослав Іванович</t>
  </si>
  <si>
    <t>ВФЧ/ШВ/У/1387</t>
  </si>
  <si>
    <t>Петрушка Ростислав Олегович</t>
  </si>
  <si>
    <t>ВФЧ/ШВ/У/1388</t>
  </si>
  <si>
    <t>Фендик Віталіна Віталіївна</t>
  </si>
  <si>
    <t>ВФЧ/ШВ/У/1389</t>
  </si>
  <si>
    <t>Ольшанецька Христина Василівна</t>
  </si>
  <si>
    <t>ВФЧ/ШВ/У/1390</t>
  </si>
  <si>
    <t>Петрушка Роман Васильович</t>
  </si>
  <si>
    <t>ВФЧ/ШВ/У/1391</t>
  </si>
  <si>
    <t>Петрушка Роман Іванович</t>
  </si>
  <si>
    <t>ВФЧ/ШВ/У/1392</t>
  </si>
  <si>
    <t>Принда Софія Романівна</t>
  </si>
  <si>
    <t>ВФЧ/ШВ/У/1393</t>
  </si>
  <si>
    <t>Притоцька Христина Петрівна</t>
  </si>
  <si>
    <t>ВФЧ/ШВ/У/1394</t>
  </si>
  <si>
    <t>Романків Володимир Володимирович</t>
  </si>
  <si>
    <t>ВФЧ/ШВ/У/1395</t>
  </si>
  <si>
    <t>Сенюк Віолетта Василівна</t>
  </si>
  <si>
    <t>ВФЧ/ШВ/У/1396</t>
  </si>
  <si>
    <t>Сенюк Іван Ігорович</t>
  </si>
  <si>
    <t>ВФЧ/ШВ/У/1397</t>
  </si>
  <si>
    <t>Сіренко Іван Русланович</t>
  </si>
  <si>
    <t>ВФЧ/ШВ/У/1398</t>
  </si>
  <si>
    <t>Торос Максим Юрійович</t>
  </si>
  <si>
    <t>ВФЧ/ШВ/У/1399</t>
  </si>
  <si>
    <t>Фендик Андріана Василівна</t>
  </si>
  <si>
    <t>ВФЧ/ШВ/У/1400</t>
  </si>
  <si>
    <t>Яблонська Христина Михайлівна</t>
  </si>
  <si>
    <t>ВФЧ/ШВ/У/1401</t>
  </si>
  <si>
    <t>Ярич Марія Ярославівна</t>
  </si>
  <si>
    <t>ВФЧ/ШВ/У/1402</t>
  </si>
  <si>
    <t>Кобаківський ліцей імені Марка Черемшини</t>
  </si>
  <si>
    <t>Бельська Наталія Дем'янівна</t>
  </si>
  <si>
    <t>Юрійчук Валерія Іванівна</t>
  </si>
  <si>
    <t>ВФЧ/ШВ/У/1403</t>
  </si>
  <si>
    <t>Голомеджук Ілля Іванович</t>
  </si>
  <si>
    <t>ВФЧ/ШВ/У/1404</t>
  </si>
  <si>
    <t>Бєдна Ангеліна Володимирівна</t>
  </si>
  <si>
    <t>ВФЧ/ШВ/У/1405</t>
  </si>
  <si>
    <t>Кричун Романа Віталіївна</t>
  </si>
  <si>
    <t>ВФЧ/ШВ/У/1406</t>
  </si>
  <si>
    <t>Томащук Марія Тарасівна</t>
  </si>
  <si>
    <t>ВФЧ/ШВ/У/1407</t>
  </si>
  <si>
    <t>Гасан Віталій Віталійович</t>
  </si>
  <si>
    <t>ВФЧ/ШВ/У/1408</t>
  </si>
  <si>
    <t>Юрнюк Анастасія Андріївна</t>
  </si>
  <si>
    <t>ВФЧ/ШВ/У/1409</t>
  </si>
  <si>
    <t>Лазорик Анастасія Володимирівна</t>
  </si>
  <si>
    <t>ВФЧ/ШВ/У/1410</t>
  </si>
  <si>
    <t>Никифорчин Анастасія Миколаївна</t>
  </si>
  <si>
    <t>ВФЧ/ШВ/У/1411</t>
  </si>
  <si>
    <t>Никифорак Роман Петрович</t>
  </si>
  <si>
    <t>ВФЧ/ШВ/У/1412</t>
  </si>
  <si>
    <t>Радиш Павло Мирославович</t>
  </si>
  <si>
    <t>ВФЧ/ШВ/У/1413</t>
  </si>
  <si>
    <t>Кондревич Олександра Петрівна</t>
  </si>
  <si>
    <t>ВФЧ/ШВ/У/1414</t>
  </si>
  <si>
    <t>Палійчук Ольга Миколаївна</t>
  </si>
  <si>
    <t>ВФЧ/ШВ/У/1415</t>
  </si>
  <si>
    <t>Сайнюк Даяна Володимирівна</t>
  </si>
  <si>
    <t>ВФЧ/ШВ/У/1416</t>
  </si>
  <si>
    <t>Рибчук Дмитро Петрович</t>
  </si>
  <si>
    <t>ВФЧ/ШВ/У/1417</t>
  </si>
  <si>
    <t>Подоляк Анастасія Дмитрівна</t>
  </si>
  <si>
    <t>ВФЧ/ШВ/У/1418</t>
  </si>
  <si>
    <t>Сайнюк Віталіна Володимирівна</t>
  </si>
  <si>
    <t>ВФЧ/ШВ/У/1419</t>
  </si>
  <si>
    <t>Івано-Франківський приватний ліцей „Католицький ліцей святого Василія Великого“</t>
  </si>
  <si>
    <t>Боднар Ірина Миколаївна</t>
  </si>
  <si>
    <t>Боднар Марія Андріївна</t>
  </si>
  <si>
    <t>ВФЧ/ШВ/У/1420</t>
  </si>
  <si>
    <t>Олійник Юліана Ігорівна</t>
  </si>
  <si>
    <t>ВФЧ/ШВ/У/1421</t>
  </si>
  <si>
    <t>Козубаш Яна Святославівна</t>
  </si>
  <si>
    <t>ВФЧ/ШВ/У/1422</t>
  </si>
  <si>
    <t>Рудко Олександр Ігорович</t>
  </si>
  <si>
    <t>ВФЧ/ШВ/У/1423</t>
  </si>
  <si>
    <t>Чорній Назар Васильович</t>
  </si>
  <si>
    <t>ВФЧ/ШВ/У/1424</t>
  </si>
  <si>
    <t>Балагура Микола Михайлович</t>
  </si>
  <si>
    <t>ВФЧ/ШВ/У/1425</t>
  </si>
  <si>
    <t>Халло Богдан Вікторович</t>
  </si>
  <si>
    <t>ВФЧ/ШВ/У/1426</t>
  </si>
  <si>
    <t>Дмитришин Богдан</t>
  </si>
  <si>
    <t>ВФЧ/ШВ/У/1427</t>
  </si>
  <si>
    <t>Федорняк Євгенія Володимирівна</t>
  </si>
  <si>
    <t>ВФЧ/ШВ/У/1428</t>
  </si>
  <si>
    <t>Новицька Марія Олегівна</t>
  </si>
  <si>
    <t>ВФЧ/ШВ/У/1429</t>
  </si>
  <si>
    <t>Куриляк Володимир Ігорович</t>
  </si>
  <si>
    <t>ВФЧ/ШВ/У/1430</t>
  </si>
  <si>
    <t>Стефанюк Франциска-Марія Любомирівна</t>
  </si>
  <si>
    <t>ВФЧ/ШВ/У/1431</t>
  </si>
  <si>
    <t>Мулярчук Софія Вікторівна</t>
  </si>
  <si>
    <t>ВФЧ/ШВ/У/1432</t>
  </si>
  <si>
    <t>Іванюк Уляна Михайлівна</t>
  </si>
  <si>
    <t>ВФЧ/ШВ/У/1433</t>
  </si>
  <si>
    <t>Ходак Анастасія Мирославівна</t>
  </si>
  <si>
    <t>ВФЧ/ШВ/У/1434</t>
  </si>
  <si>
    <t>Оленчук Яна Михайлівна</t>
  </si>
  <si>
    <t>ВФЧ/ШВ/У/1435</t>
  </si>
  <si>
    <t>Дузінкевич Богдан Романович</t>
  </si>
  <si>
    <t>ВФЧ/ШВ/У/1436</t>
  </si>
  <si>
    <t>Герасимчук Ольга Сергіївна</t>
  </si>
  <si>
    <t>ВФЧ/ШВ/У/1437</t>
  </si>
  <si>
    <t>Мазур Ангеліна Віталіївна</t>
  </si>
  <si>
    <t>ВФЧ/ШВ/У/1438</t>
  </si>
  <si>
    <t>Вовк Данило Вікторович</t>
  </si>
  <si>
    <t>ВФЧ/ШВ/У/1439</t>
  </si>
  <si>
    <t>Данилюк Агнетта Мирославівна</t>
  </si>
  <si>
    <t>ВФЧ/ШВ/У/1440</t>
  </si>
  <si>
    <t>Рудко Злата Ігорівна</t>
  </si>
  <si>
    <t>ВФЧ/ШВ/У/1441</t>
  </si>
  <si>
    <t>Калуський ліцей №2 Калуської міської ради Івано-Франківської області</t>
  </si>
  <si>
    <t>Головчак Галина Іванівна</t>
  </si>
  <si>
    <t>Остапишин Богдан Петрович</t>
  </si>
  <si>
    <t>ВФЧ/ШВ/У/1442</t>
  </si>
  <si>
    <t>Черпак Анастасія Володимирівна</t>
  </si>
  <si>
    <t>ВФЧ/ШВ/У/1443</t>
  </si>
  <si>
    <t>Брич Ангеліна Володимирівна</t>
  </si>
  <si>
    <t>ВФЧ/ШВ/У/1444</t>
  </si>
  <si>
    <t>Орищенко Олександр Ігорович</t>
  </si>
  <si>
    <t>ВФЧ/ШВ/У/1445</t>
  </si>
  <si>
    <t>Перегінець Марія Андріївна</t>
  </si>
  <si>
    <t>ВФЧ/ШВ/У/1446</t>
  </si>
  <si>
    <t>Музика Ірина Романівна</t>
  </si>
  <si>
    <t>ВФЧ/ШВ/У/1447</t>
  </si>
  <si>
    <t>Токарчук Анна Богданівна</t>
  </si>
  <si>
    <t>ВФЧ/ШВ/У/1448</t>
  </si>
  <si>
    <t>Фринцко Володимира Андріївна</t>
  </si>
  <si>
    <t>ВФЧ/ШВ/У/1449</t>
  </si>
  <si>
    <t>Ямнич Софія Богданівна</t>
  </si>
  <si>
    <t>ВФЧ/ШВ/У/1450</t>
  </si>
  <si>
    <t>Іванцівська Катерина Петрівна</t>
  </si>
  <si>
    <t>ВФЧ/ШВ/У/1451</t>
  </si>
  <si>
    <t>Сливоцька Юлія Ігорівна</t>
  </si>
  <si>
    <t>ВФЧ/ШВ/У/1452</t>
  </si>
  <si>
    <t>Мартиненко Олександр Денисович</t>
  </si>
  <si>
    <t>ВФЧ/ШВ/У/1453</t>
  </si>
  <si>
    <t>Яблунський ліцей</t>
  </si>
  <si>
    <t>Зварич Тетяна Юріївна</t>
  </si>
  <si>
    <t>Андрусяк Вероніка</t>
  </si>
  <si>
    <t>ВФЧ/ШВ/У/1454</t>
  </si>
  <si>
    <t>Бітківський Іван</t>
  </si>
  <si>
    <t>ВФЧ/ШВ/У/1455</t>
  </si>
  <si>
    <t>Близнюк Юрій</t>
  </si>
  <si>
    <t>ВФЧ/ШВ/У/1456</t>
  </si>
  <si>
    <t>Бойченюк Михайло</t>
  </si>
  <si>
    <t>ВФЧ/ШВ/У/1457</t>
  </si>
  <si>
    <t>Буграк Ігор</t>
  </si>
  <si>
    <t>ВФЧ/ШВ/У/1458</t>
  </si>
  <si>
    <t>Глуханюк Вероніка</t>
  </si>
  <si>
    <t>ВФЧ/ШВ/У/1459</t>
  </si>
  <si>
    <t>Глушак Юрій</t>
  </si>
  <si>
    <t>ВФЧ/ШВ/У/1460</t>
  </si>
  <si>
    <t>Гоцанюк Денис</t>
  </si>
  <si>
    <t>ВФЧ/ШВ/У/1461</t>
  </si>
  <si>
    <t>Гуменяк Діана</t>
  </si>
  <si>
    <t>ВФЧ/ШВ/У/1462</t>
  </si>
  <si>
    <t>Дашковець Андрій</t>
  </si>
  <si>
    <t>ВФЧ/ШВ/У/1463</t>
  </si>
  <si>
    <t>Зварич Ірина</t>
  </si>
  <si>
    <t>ВФЧ/ШВ/У/1464</t>
  </si>
  <si>
    <t>Климович Христина</t>
  </si>
  <si>
    <t>ВФЧ/ШВ/У/1465</t>
  </si>
  <si>
    <t>Коростіль Марія</t>
  </si>
  <si>
    <t>ВФЧ/ШВ/У/1466</t>
  </si>
  <si>
    <t>Коцюруба Володимира</t>
  </si>
  <si>
    <t>ВФЧ/ШВ/У/1467</t>
  </si>
  <si>
    <t>Красілич Іван</t>
  </si>
  <si>
    <t>ВФЧ/ШВ/У/1468</t>
  </si>
  <si>
    <t>Кубірка Василь</t>
  </si>
  <si>
    <t>ВФЧ/ШВ/У/1469</t>
  </si>
  <si>
    <t>Мартинюк Марія</t>
  </si>
  <si>
    <t>ВФЧ/ШВ/У/1470</t>
  </si>
  <si>
    <t>Перегінець Надія</t>
  </si>
  <si>
    <t>ВФЧ/ШВ/У/1471</t>
  </si>
  <si>
    <t>Пронозюк Богдан</t>
  </si>
  <si>
    <t>ВФЧ/ШВ/У/1472</t>
  </si>
  <si>
    <t>Проців Віталій</t>
  </si>
  <si>
    <t>ВФЧ/ШВ/У/1473</t>
  </si>
  <si>
    <t>Семчук Андрій</t>
  </si>
  <si>
    <t>ВФЧ/ШВ/У/1474</t>
  </si>
  <si>
    <t>Струк Марта</t>
  </si>
  <si>
    <t>ВФЧ/ШВ/У/1475</t>
  </si>
  <si>
    <t>Хомин Анастасія</t>
  </si>
  <si>
    <t>ВФЧ/ШВ/У/1476</t>
  </si>
  <si>
    <t>Шелюк Дмитро</t>
  </si>
  <si>
    <t>ВФЧ/ШВ/У/1477</t>
  </si>
  <si>
    <t>Шумило Давид</t>
  </si>
  <si>
    <t>ВФЧ/ШВ/У/1478</t>
  </si>
  <si>
    <t>Яремчук Ілля</t>
  </si>
  <si>
    <t>ВФЧ/ШВ/У/1479</t>
  </si>
  <si>
    <t>Двібородчин Богдан</t>
  </si>
  <si>
    <t>ВФЧ/ШВ/У/1480</t>
  </si>
  <si>
    <t>Климович Аліна</t>
  </si>
  <si>
    <t>ВФЧ/ШВ/У/1481</t>
  </si>
  <si>
    <t>Климович Вероніка</t>
  </si>
  <si>
    <t>ВФЧ/ШВ/У/1482</t>
  </si>
  <si>
    <t>Рошко Юліана</t>
  </si>
  <si>
    <t>ВФЧ/ШВ/У/1483</t>
  </si>
  <si>
    <t>Семчук Степан</t>
  </si>
  <si>
    <t>ВФЧ/ШВ/У/1484</t>
  </si>
  <si>
    <t>Струк Софія</t>
  </si>
  <si>
    <t>ВФЧ/ШВ/У/1485</t>
  </si>
  <si>
    <t>Фуфалько Надія</t>
  </si>
  <si>
    <t>ВФЧ/ШВ/У/1486</t>
  </si>
  <si>
    <t>Цьомко Марія</t>
  </si>
  <si>
    <t>ВФЧ/ШВ/У/1487</t>
  </si>
  <si>
    <t>Долинський ліцей №5 Долинської міської ради</t>
  </si>
  <si>
    <t>Кабинець Вікторія Іванівна</t>
  </si>
  <si>
    <t>Бігун Олександр Васильович</t>
  </si>
  <si>
    <t>ВФЧ/ШВ/У/1488</t>
  </si>
  <si>
    <t>Коновальчук Яна Андріївна</t>
  </si>
  <si>
    <t>ВФЧ/ШВ/У/1489</t>
  </si>
  <si>
    <t>Куціль Тетяна Володимирівна</t>
  </si>
  <si>
    <t>ВФЧ/ШВ/У/1490</t>
  </si>
  <si>
    <t>Матіїв Денис Ігорович</t>
  </si>
  <si>
    <t>ВФЧ/ШВ/У/1491</t>
  </si>
  <si>
    <t>Роїв Артем Володимирович</t>
  </si>
  <si>
    <t>ВФЧ/ШВ/У/1492</t>
  </si>
  <si>
    <t>Скиба Ярослав Михайлович</t>
  </si>
  <si>
    <t>ВФЧ/ШВ/У/1493</t>
  </si>
  <si>
    <t>Чігур Андрій Андрійович</t>
  </si>
  <si>
    <t>ВФЧ/ШВ/У/1494</t>
  </si>
  <si>
    <t>Чігур Олександр Дмитрович</t>
  </si>
  <si>
    <t>ВФЧ/ШВ/У/1495</t>
  </si>
  <si>
    <t>Івано-Франківський приватний заклад ліцей "ВС СКУЛ"</t>
  </si>
  <si>
    <t>Клімковська Світлана Іванівна, Сисак Марія Миколаївна</t>
  </si>
  <si>
    <t>Кальна Ольга</t>
  </si>
  <si>
    <t>ВФЧ/ШВ/У/1496</t>
  </si>
  <si>
    <t>Надвірнянський ліцей "Престиж" Надвірнянської міської ради Івано-Франківської області</t>
  </si>
  <si>
    <t>Ковальчук Олег Олексійович</t>
  </si>
  <si>
    <t>Андрусяк Руслан</t>
  </si>
  <si>
    <t>ВФЧ/ШВ/У/1497</t>
  </si>
  <si>
    <t>Арич Андрій</t>
  </si>
  <si>
    <t>ВФЧ/ШВ/У/1498</t>
  </si>
  <si>
    <t>Бобинець Діана</t>
  </si>
  <si>
    <t>ВФЧ/ШВ/У/1499</t>
  </si>
  <si>
    <t>Вацик Юрій</t>
  </si>
  <si>
    <t>ВФЧ/ШВ/У/1500</t>
  </si>
  <si>
    <t>Гошівська Соломія</t>
  </si>
  <si>
    <t>ВФЧ/ШВ/У/1501</t>
  </si>
  <si>
    <t>Гресько Денис</t>
  </si>
  <si>
    <t>ВФЧ/ШВ/У/1502</t>
  </si>
  <si>
    <t>Гринішак Софія</t>
  </si>
  <si>
    <t>ВФЧ/ШВ/У/1503</t>
  </si>
  <si>
    <t>Дунець Володимир</t>
  </si>
  <si>
    <t>ВФЧ/ШВ/У/1504</t>
  </si>
  <si>
    <t>Дубей Артем</t>
  </si>
  <si>
    <t>ВФЧ/ШВ/У/1505</t>
  </si>
  <si>
    <t>Зеленіна Софія</t>
  </si>
  <si>
    <t>ВФЧ/ШВ/У/1506</t>
  </si>
  <si>
    <t>Касіянчук Євген</t>
  </si>
  <si>
    <t>ВФЧ/ШВ/У/1507</t>
  </si>
  <si>
    <t>Логаза Кирило</t>
  </si>
  <si>
    <t>ВФЧ/ШВ/У/1508</t>
  </si>
  <si>
    <t>Лозяк Максим</t>
  </si>
  <si>
    <t>ВФЧ/ШВ/У/1509</t>
  </si>
  <si>
    <t>Мушак Назарій</t>
  </si>
  <si>
    <t>ВФЧ/ШВ/У/1510</t>
  </si>
  <si>
    <t>Нагорняк Володимир</t>
  </si>
  <si>
    <t>ВФЧ/ШВ/У/1511</t>
  </si>
  <si>
    <t>Пилип'юк Андрій</t>
  </si>
  <si>
    <t>ВФЧ/ШВ/У/1512</t>
  </si>
  <si>
    <t>Реміцька Христина</t>
  </si>
  <si>
    <t>ВФЧ/ШВ/У/1513</t>
  </si>
  <si>
    <t>Рибак Ксенія</t>
  </si>
  <si>
    <t>ВФЧ/ШВ/У/1514</t>
  </si>
  <si>
    <t>Рогів Віталій</t>
  </si>
  <si>
    <t>ВФЧ/ШВ/У/1515</t>
  </si>
  <si>
    <t>Савка Володимир</t>
  </si>
  <si>
    <t>ВФЧ/ШВ/У/1516</t>
  </si>
  <si>
    <t>Семанюк Ольга</t>
  </si>
  <si>
    <t>ВФЧ/ШВ/У/1517</t>
  </si>
  <si>
    <t>Синоверський Дмитро</t>
  </si>
  <si>
    <t>ВФЧ/ШВ/У/1518</t>
  </si>
  <si>
    <t>Тимків Василь</t>
  </si>
  <si>
    <t>ВФЧ/ШВ/У/1519</t>
  </si>
  <si>
    <t>Федоришин Іван</t>
  </si>
  <si>
    <t>ВФЧ/ШВ/У/1520</t>
  </si>
  <si>
    <t>Хомяк Тетяна</t>
  </si>
  <si>
    <t>ВФЧ/ШВ/У/1521</t>
  </si>
  <si>
    <t>Яворський Олег</t>
  </si>
  <si>
    <t>ВФЧ/ШВ/У/1522</t>
  </si>
  <si>
    <t>Насадюк Максим</t>
  </si>
  <si>
    <t>ВФЧ/ШВ/У/1523</t>
  </si>
  <si>
    <t>Вітович Каріна</t>
  </si>
  <si>
    <t>ВФЧ/ШВ/У/1524</t>
  </si>
  <si>
    <t>Головчук Ольга</t>
  </si>
  <si>
    <t>ВФЧ/ШВ/У/1525</t>
  </si>
  <si>
    <t>Грейда Арсеній</t>
  </si>
  <si>
    <t>ВФЧ/ШВ/У/1526</t>
  </si>
  <si>
    <t>Грушка Юлія</t>
  </si>
  <si>
    <t>ВФЧ/ШВ/У/1527</t>
  </si>
  <si>
    <t>Дем'янчук Аліна</t>
  </si>
  <si>
    <t>ВФЧ/ШВ/У/1528</t>
  </si>
  <si>
    <t>Дем'янчук Антон</t>
  </si>
  <si>
    <t>ВФЧ/ШВ/У/1529</t>
  </si>
  <si>
    <t>Ільчишин Катерина</t>
  </si>
  <si>
    <t>ВФЧ/ШВ/У/1530</t>
  </si>
  <si>
    <t>Ісопенко Данило</t>
  </si>
  <si>
    <t>ВФЧ/ШВ/У/1531</t>
  </si>
  <si>
    <t>Ковальчук Ольга</t>
  </si>
  <si>
    <t>ВФЧ/ШВ/У/1532</t>
  </si>
  <si>
    <t>Кудім Матвій</t>
  </si>
  <si>
    <t>ВФЧ/ШВ/У/1533</t>
  </si>
  <si>
    <t>Лук'яненко Марта</t>
  </si>
  <si>
    <t>ВФЧ/ШВ/У/1534</t>
  </si>
  <si>
    <t>Лук'яненко Остап</t>
  </si>
  <si>
    <t>ВФЧ/ШВ/У/1535</t>
  </si>
  <si>
    <t>Луцик Артем</t>
  </si>
  <si>
    <t>ВФЧ/ШВ/У/1536</t>
  </si>
  <si>
    <t>Михайлюк Олександр</t>
  </si>
  <si>
    <t>ВФЧ/ШВ/У/1537</t>
  </si>
  <si>
    <t>Мочарна Софія</t>
  </si>
  <si>
    <t>ВФЧ/ШВ/У/1538</t>
  </si>
  <si>
    <t>Ніколаєва Ольга</t>
  </si>
  <si>
    <t>ВФЧ/ШВ/У/1539</t>
  </si>
  <si>
    <t>Парфаняк Арсеній</t>
  </si>
  <si>
    <t>ВФЧ/ШВ/У/1540</t>
  </si>
  <si>
    <t>Петриняк Олег</t>
  </si>
  <si>
    <t>ВФЧ/ШВ/У/1541</t>
  </si>
  <si>
    <t>Писуляк Андрій</t>
  </si>
  <si>
    <t>ВФЧ/ШВ/У/1542</t>
  </si>
  <si>
    <t>Потравич Андрій</t>
  </si>
  <si>
    <t>ВФЧ/ШВ/У/1543</t>
  </si>
  <si>
    <t>Пуканюк Ольга</t>
  </si>
  <si>
    <t>ВФЧ/ШВ/У/1544</t>
  </si>
  <si>
    <t>Рудейчук Андріана</t>
  </si>
  <si>
    <t>ВФЧ/ШВ/У/1545</t>
  </si>
  <si>
    <t>Свідрук Софія</t>
  </si>
  <si>
    <t>ВФЧ/ШВ/У/1546</t>
  </si>
  <si>
    <t>Семчук Максим</t>
  </si>
  <si>
    <t>ВФЧ/ШВ/У/1547</t>
  </si>
  <si>
    <t>Тимофєєва Софія</t>
  </si>
  <si>
    <t>ВФЧ/ШВ/У/1548</t>
  </si>
  <si>
    <t>Тимчук Назарій</t>
  </si>
  <si>
    <t>ВФЧ/ШВ/У/1549</t>
  </si>
  <si>
    <t>Яремчук Матвій</t>
  </si>
  <si>
    <t>ВФЧ/ШВ/У/1550</t>
  </si>
  <si>
    <t>Власова Анастасія</t>
  </si>
  <si>
    <t>ВФЧ/ШВ/У/1551</t>
  </si>
  <si>
    <t>Волос Дмитро</t>
  </si>
  <si>
    <t>ВФЧ/ШВ/У/1552</t>
  </si>
  <si>
    <t>Гаджега Ярина</t>
  </si>
  <si>
    <t>ВФЧ/ШВ/У/1553</t>
  </si>
  <si>
    <t>Герба Богдан</t>
  </si>
  <si>
    <t>ВФЧ/ШВ/У/1554</t>
  </si>
  <si>
    <t>Грицюк Аліна</t>
  </si>
  <si>
    <t>ВФЧ/ШВ/У/1555</t>
  </si>
  <si>
    <t>Дрогомирецька Діана</t>
  </si>
  <si>
    <t>ВФЧ/ШВ/У/1556</t>
  </si>
  <si>
    <t>Ільків Ірина</t>
  </si>
  <si>
    <t>ВФЧ/ШВ/У/1557</t>
  </si>
  <si>
    <t>Ільків Ольга</t>
  </si>
  <si>
    <t>ВФЧ/ШВ/У/1558</t>
  </si>
  <si>
    <t>Іто Йордана</t>
  </si>
  <si>
    <t>ВФЧ/ШВ/У/1559</t>
  </si>
  <si>
    <t>Калимун Роман</t>
  </si>
  <si>
    <t>ВФЧ/ШВ/У/1560</t>
  </si>
  <si>
    <t>Кіх Зоряна</t>
  </si>
  <si>
    <t>ВФЧ/ШВ/У/1561</t>
  </si>
  <si>
    <t>Кузенко Віталія</t>
  </si>
  <si>
    <t>ВФЧ/ШВ/У/1562</t>
  </si>
  <si>
    <t>Луквінський Максим</t>
  </si>
  <si>
    <t>ВФЧ/ШВ/У/1563</t>
  </si>
  <si>
    <t>Малахов Максим</t>
  </si>
  <si>
    <t>ВФЧ/ШВ/У/1564</t>
  </si>
  <si>
    <t>Несіна Елеонора</t>
  </si>
  <si>
    <t>ВФЧ/ШВ/У/1565</t>
  </si>
  <si>
    <t>Новікова Ельвіра</t>
  </si>
  <si>
    <t>ВФЧ/ШВ/У/1566</t>
  </si>
  <si>
    <t>Огерук Жанна</t>
  </si>
  <si>
    <t>ВФЧ/ШВ/У/1567</t>
  </si>
  <si>
    <t>Охотник Анна</t>
  </si>
  <si>
    <t>ВФЧ/ШВ/У/1568</t>
  </si>
  <si>
    <t>Полатайко Тетяна</t>
  </si>
  <si>
    <t>ВФЧ/ШВ/У/1569</t>
  </si>
  <si>
    <t>Попович Іван</t>
  </si>
  <si>
    <t>ВФЧ/ШВ/У/1570</t>
  </si>
  <si>
    <t>Попович Софія</t>
  </si>
  <si>
    <t>ВФЧ/ШВ/У/1571</t>
  </si>
  <si>
    <t>Семенишин Соломія</t>
  </si>
  <si>
    <t>ВФЧ/ШВ/У/1572</t>
  </si>
  <si>
    <t>Сіщук Софія</t>
  </si>
  <si>
    <t>ВФЧ/ШВ/У/1573</t>
  </si>
  <si>
    <t>Тарасюк Марта</t>
  </si>
  <si>
    <t>ВФЧ/ШВ/У/1574</t>
  </si>
  <si>
    <t>Том'як Софія</t>
  </si>
  <si>
    <t>ВФЧ/ШВ/У/1575</t>
  </si>
  <si>
    <t>Чундишк Вероніка</t>
  </si>
  <si>
    <t>ВФЧ/ШВ/У/1576</t>
  </si>
  <si>
    <t>Шпитко Анастасія</t>
  </si>
  <si>
    <t>ВФЧ/ШВ/У/1577</t>
  </si>
  <si>
    <t>Янко Віра</t>
  </si>
  <si>
    <t>ВФЧ/ШВ/У/1578</t>
  </si>
  <si>
    <t>Янко Надія</t>
  </si>
  <si>
    <t>ВФЧ/ШВ/У/1579</t>
  </si>
  <si>
    <t>Ясінець Вікторія</t>
  </si>
  <si>
    <t>ВФЧ/ШВ/У/1580</t>
  </si>
  <si>
    <t>КАЛУСЬКИЙ ЛІЦЕЙ №10 КАЛУСЬКОЇ МІСЬКОЇ РАДИ ІВАНО-ФРАНКІВСЬКОЇ ОБЛАСТІ</t>
  </si>
  <si>
    <t>Крохта Оксана Миколаївна</t>
  </si>
  <si>
    <t>Бойко  Анастасія Романівна</t>
  </si>
  <si>
    <t>ВФЧ/ШВ/У/1581</t>
  </si>
  <si>
    <t>Бухтарьова Анастасія Денисівна</t>
  </si>
  <si>
    <t>ВФЧ/ШВ/У/1582</t>
  </si>
  <si>
    <t>Галюк Надія Дмитрівна</t>
  </si>
  <si>
    <t>ВФЧ/ШВ/У/1583</t>
  </si>
  <si>
    <t>Ганущак Анастасія Василівна</t>
  </si>
  <si>
    <t>ВФЧ/ШВ/У/1584</t>
  </si>
  <si>
    <t>Довбняк Анастасія Володимир.</t>
  </si>
  <si>
    <t>ВФЧ/ШВ/У/1585</t>
  </si>
  <si>
    <t>Захарків Уляна Богданівна</t>
  </si>
  <si>
    <t>ВФЧ/ШВ/У/1586</t>
  </si>
  <si>
    <t>Кащак Анастасія Володимир.</t>
  </si>
  <si>
    <t>ВФЧ/ШВ/У/1587</t>
  </si>
  <si>
    <t>Корнута Валерія Вікторівна</t>
  </si>
  <si>
    <t>ВФЧ/ШВ/У/1588</t>
  </si>
  <si>
    <t>Костяк Вікторія Сергіївна</t>
  </si>
  <si>
    <t>ВФЧ/ШВ/У/1589</t>
  </si>
  <si>
    <t>Костяк Роман Андрійович</t>
  </si>
  <si>
    <t>ВФЧ/ШВ/У/1590</t>
  </si>
  <si>
    <t>Микитин Анастасія Василівна</t>
  </si>
  <si>
    <t>ВФЧ/ШВ/У/1591</t>
  </si>
  <si>
    <t>Матвіїв Катерина Василівна</t>
  </si>
  <si>
    <t>ВФЧ/ШВ/У/1592</t>
  </si>
  <si>
    <t>Никифорук Анастасія Андріївна</t>
  </si>
  <si>
    <t>ВФЧ/ШВ/У/1593</t>
  </si>
  <si>
    <t>Орищук Максим Васильович</t>
  </si>
  <si>
    <t>ВФЧ/ШВ/У/1594</t>
  </si>
  <si>
    <t>Полицька Олександра Володимир</t>
  </si>
  <si>
    <t>ВФЧ/ШВ/У/1595</t>
  </si>
  <si>
    <t>Поліщук Олександр Володимир</t>
  </si>
  <si>
    <t>ВФЧ/ШВ/У/1596</t>
  </si>
  <si>
    <t>Понайда Марта Вікторівна</t>
  </si>
  <si>
    <t>ВФЧ/ШВ/У/1597</t>
  </si>
  <si>
    <t>Поп  Олександр Анатолій.</t>
  </si>
  <si>
    <t>ВФЧ/ШВ/У/1598</t>
  </si>
  <si>
    <t>Попадин Анна Петрівна</t>
  </si>
  <si>
    <t>ВФЧ/ШВ/У/1599</t>
  </si>
  <si>
    <t>Припхан  Ілля Тарасовч</t>
  </si>
  <si>
    <t>ВФЧ/ШВ/У/1600</t>
  </si>
  <si>
    <t>Романишин Назарій Андрійович</t>
  </si>
  <si>
    <t>ВФЧ/ШВ/У/1601</t>
  </si>
  <si>
    <t>Романів Софія Тарасівна</t>
  </si>
  <si>
    <t>ВФЧ/ШВ/У/1602</t>
  </si>
  <si>
    <t>Сеняк Юлія Петрівна</t>
  </si>
  <si>
    <t>ВФЧ/ШВ/У/1603</t>
  </si>
  <si>
    <t>Сондей Максим Іванович</t>
  </si>
  <si>
    <t>ВФЧ/ШВ/У/1604</t>
  </si>
  <si>
    <t>Троян Дмитро Володимир</t>
  </si>
  <si>
    <t>ВФЧ/ШВ/У/1605</t>
  </si>
  <si>
    <t>Цапчук Денис Юрійович</t>
  </si>
  <si>
    <t>ВФЧ/ШВ/У/1606</t>
  </si>
  <si>
    <t>Юзьв’як  Денис Романович</t>
  </si>
  <si>
    <t>ВФЧ/ШВ/У/1607</t>
  </si>
  <si>
    <t>Калуський ліцей ім. Дмитра Бахматюка</t>
  </si>
  <si>
    <t>Святкевич Наталія Володимирівна</t>
  </si>
  <si>
    <t>Паньків Ірина Василівна</t>
  </si>
  <si>
    <t>ВФЧ/ШВ/У/1608</t>
  </si>
  <si>
    <t>Шпирко Марта Романівна</t>
  </si>
  <si>
    <t>ВФЧ/ШВ/У/1609</t>
  </si>
  <si>
    <t>Коломийський ліцей №9 Коломийської міської ради Івано-Франківської області</t>
  </si>
  <si>
    <t>Юр'як Роман Іванович</t>
  </si>
  <si>
    <t>Босий Ілля Сергійович</t>
  </si>
  <si>
    <t>ВФЧ/ШВ/У/1610</t>
  </si>
  <si>
    <t>Босий Кірілл Сергійович</t>
  </si>
  <si>
    <t>ВФЧ/ШВ/У/1611</t>
  </si>
  <si>
    <t>Іванчук Ігор Ігорович</t>
  </si>
  <si>
    <t>ВФЧ/ШВ/У/1612</t>
  </si>
  <si>
    <t>Коцаба Софія Юріївна</t>
  </si>
  <si>
    <t>ВФЧ/ШВ/У/1613</t>
  </si>
  <si>
    <t>Матейчук Ольга Тарасівна</t>
  </si>
  <si>
    <t>ВФЧ/ШВ/У/1614</t>
  </si>
  <si>
    <t>Франкевич Андрій Петрович</t>
  </si>
  <si>
    <t>ВФЧ/ШВ/У/1615</t>
  </si>
  <si>
    <t>Козловська Анастасія Юріївна</t>
  </si>
  <si>
    <t>ВФЧ/ШВ/У/1616</t>
  </si>
  <si>
    <t>Долинський ліцей "Інтелект"</t>
  </si>
  <si>
    <t>Ющик Ольга Михайлівна</t>
  </si>
  <si>
    <t>Рухляк Андрій Вікторович</t>
  </si>
  <si>
    <t>ВФЧ/ШВ/У/1617</t>
  </si>
  <si>
    <t>Сабан Аліна Михайлівна</t>
  </si>
  <si>
    <t>ВФЧ/ШВ/У/1618</t>
  </si>
  <si>
    <t>Василів Катерина Мар'янівна</t>
  </si>
  <si>
    <t>ВФЧ/ШВ/У/1619</t>
  </si>
  <si>
    <t>Русанівський ліцей</t>
  </si>
  <si>
    <t>Алексєєв Павло Сергійович</t>
  </si>
  <si>
    <t>Андрєєва Євгенія Ігорівна</t>
  </si>
  <si>
    <t>ВФЧ/ШВ/У/1620</t>
  </si>
  <si>
    <t>Дутка Мирослав Романович</t>
  </si>
  <si>
    <t>ВФЧ/ШВ/У/1621</t>
  </si>
  <si>
    <t>Козачинський Денис Дмитрович</t>
  </si>
  <si>
    <t>ВФЧ/ШВ/У/1622</t>
  </si>
  <si>
    <t>Кононенко Олександра Миколаївна</t>
  </si>
  <si>
    <t>ВФЧ/ШВ/У/1623</t>
  </si>
  <si>
    <t>Ляшко Сніжана Олександрівна</t>
  </si>
  <si>
    <t>ВФЧ/ШВ/У/1624</t>
  </si>
  <si>
    <t>Уляницький Святослав Дмитрович</t>
  </si>
  <si>
    <t>ВФЧ/ШВ/У/1625</t>
  </si>
  <si>
    <t>Язуполь Вєроніка Владиславівна</t>
  </si>
  <si>
    <t>ВФЧ/ШВ/У/1626</t>
  </si>
  <si>
    <t>Київський ліцей бізнесу</t>
  </si>
  <si>
    <t>Андруховець Петро Михайлович</t>
  </si>
  <si>
    <t>Марусов Олександр Андрійович</t>
  </si>
  <si>
    <t>ВФЧ/ШВ/У/1627</t>
  </si>
  <si>
    <t>Янковський Лев Романович</t>
  </si>
  <si>
    <t>ВФЧ/ШВ/У/1628</t>
  </si>
  <si>
    <t>ліцей «Фінансовий» м. Києва</t>
  </si>
  <si>
    <t>Бицюра Юрій Васильович</t>
  </si>
  <si>
    <t>Чумаков Михайло Євгенович</t>
  </si>
  <si>
    <t>ВФЧ/ШВ/У/1629</t>
  </si>
  <si>
    <t>Лавренюк Ярослав Романович</t>
  </si>
  <si>
    <t>ВФЧ/ШВ/У/1630</t>
  </si>
  <si>
    <t>Василенко Владислав Романович</t>
  </si>
  <si>
    <t>ВФЧ/ШВ/У/1631</t>
  </si>
  <si>
    <t>Каніщев Нікіта Євгенович</t>
  </si>
  <si>
    <t>ВФЧ/ШВ/У/1632</t>
  </si>
  <si>
    <t>Терещенко Володимир Євгенович</t>
  </si>
  <si>
    <t>ВФЧ/ШВ/У/1633</t>
  </si>
  <si>
    <t>Братанюк Андрій Віталійович</t>
  </si>
  <si>
    <t>ВФЧ/ШВ/У/1634</t>
  </si>
  <si>
    <t>Домбровський Дмитро Андрійович</t>
  </si>
  <si>
    <t>ВФЧ/ШВ/У/1635</t>
  </si>
  <si>
    <t>Руденко Артем Дмитрович</t>
  </si>
  <si>
    <t>ВФЧ/ШВ/У/1636</t>
  </si>
  <si>
    <t>Жук Святозар Олексійович</t>
  </si>
  <si>
    <t>ВФЧ/ШВ/У/1637</t>
  </si>
  <si>
    <t>Бугайова Софія Максимівна</t>
  </si>
  <si>
    <t>ВФЧ/ШВ/У/1638</t>
  </si>
  <si>
    <t>Снігир Юлія Володимирівна</t>
  </si>
  <si>
    <t>ВФЧ/ШВ/У/1639</t>
  </si>
  <si>
    <t>Завірюха Марк Олексійович</t>
  </si>
  <si>
    <t>ВФЧ/ШВ/У/1640</t>
  </si>
  <si>
    <t>Томських Аліса Сергіївна</t>
  </si>
  <si>
    <t>ВФЧ/ШВ/У/1641</t>
  </si>
  <si>
    <t>Дяченко Тимофій Володимирович</t>
  </si>
  <si>
    <t>ВФЧ/ШВ/У/1642</t>
  </si>
  <si>
    <t>Мєстєчкін Феодосій Ігорович</t>
  </si>
  <si>
    <t>ВФЧ/ШВ/У/1643</t>
  </si>
  <si>
    <t>Спеціалізована школа І - ІІІ ступенів №207 з поглибленим вивченням англійської мови Деснянського  району міста Києва</t>
  </si>
  <si>
    <t>Бурлаєнко Олексій Даніель Андрійович (вчитель)</t>
  </si>
  <si>
    <t>Курило Владислава Ігорівна</t>
  </si>
  <si>
    <t>ВФЧ/ШВ/У/1644</t>
  </si>
  <si>
    <t>Березанський ліцей №3</t>
  </si>
  <si>
    <t>Войтенко Наталія Григорівна</t>
  </si>
  <si>
    <t>Амбарцумян Вікторія Сароївна</t>
  </si>
  <si>
    <t>ВФЧ/ШВ/У/1645</t>
  </si>
  <si>
    <t>Арбатських Андрій Сергійович</t>
  </si>
  <si>
    <t>ВФЧ/ШВ/У/1646</t>
  </si>
  <si>
    <t>Бабюк Анна Андріївна</t>
  </si>
  <si>
    <t>ВФЧ/ШВ/У/1647</t>
  </si>
  <si>
    <t>Бережна Іоанна Ігорівна</t>
  </si>
  <si>
    <t>ВФЧ/ШВ/У/1648</t>
  </si>
  <si>
    <t>Бобошко Анжеліка Тарасівна</t>
  </si>
  <si>
    <t>ВФЧ/ШВ/У/1649</t>
  </si>
  <si>
    <t>Вдовиченко Олексій Романович</t>
  </si>
  <si>
    <t>ВФЧ/ШВ/У/1650</t>
  </si>
  <si>
    <t>Винник Юліана Олександрівна</t>
  </si>
  <si>
    <t>ВФЧ/ШВ/У/1651</t>
  </si>
  <si>
    <t>Дмитренко Роман Ігорович</t>
  </si>
  <si>
    <t>ВФЧ/ШВ/У/1652</t>
  </si>
  <si>
    <t>Ємець Марія Романівна</t>
  </si>
  <si>
    <t>ВФЧ/ШВ/У/1653</t>
  </si>
  <si>
    <t>Закомірна Маргарита Сергіївна</t>
  </si>
  <si>
    <t>ВФЧ/ШВ/У/1654</t>
  </si>
  <si>
    <t>Костенко Олександра Вікторівна</t>
  </si>
  <si>
    <t>ВФЧ/ШВ/У/1655</t>
  </si>
  <si>
    <t>Крамаренко Максим Олександрович</t>
  </si>
  <si>
    <t>ВФЧ/ШВ/У/1656</t>
  </si>
  <si>
    <t>Кудрявська Ангеліна Геннадіївна</t>
  </si>
  <si>
    <t>ВФЧ/ШВ/У/1657</t>
  </si>
  <si>
    <t>Мазур Анастасія Сергіївна</t>
  </si>
  <si>
    <t>ВФЧ/ШВ/У/1658</t>
  </si>
  <si>
    <t>Ліцей ім. Михайла Драгоманова</t>
  </si>
  <si>
    <t>Воронецька Ірина Яківна</t>
  </si>
  <si>
    <t>Герасименко Наталія Володимирівна</t>
  </si>
  <si>
    <t>ВФЧ/ШВ/У/1659</t>
  </si>
  <si>
    <t>Гордієнко Володимир Володимирович</t>
  </si>
  <si>
    <t>ВФЧ/ШВ/У/1660</t>
  </si>
  <si>
    <t>Гнатюк Андрій Петрович</t>
  </si>
  <si>
    <t>ВФЧ/ШВ/У/1661</t>
  </si>
  <si>
    <t>Губанова Анна Євгенівна</t>
  </si>
  <si>
    <t>ВФЧ/ШВ/У/1662</t>
  </si>
  <si>
    <t>Гук Анастасія Богданівна</t>
  </si>
  <si>
    <t>ВФЧ/ШВ/У/1663</t>
  </si>
  <si>
    <t>Давідчик Карина Валентинівна</t>
  </si>
  <si>
    <t>ВФЧ/ШВ/У/1664</t>
  </si>
  <si>
    <t>Каминіна Анастасія Максимівна</t>
  </si>
  <si>
    <t>ВФЧ/ШВ/У/1665</t>
  </si>
  <si>
    <t>Косенко Поліна Анатоліївна</t>
  </si>
  <si>
    <t>ВФЧ/ШВ/У/1666</t>
  </si>
  <si>
    <t>Кузнєцова Поліна Олексіївна</t>
  </si>
  <si>
    <t>ВФЧ/ШВ/У/1667</t>
  </si>
  <si>
    <t>Кухар Маргарита Русланівна</t>
  </si>
  <si>
    <t>ВФЧ/ШВ/У/1668</t>
  </si>
  <si>
    <t>Лазаренко Амалія Андріївна</t>
  </si>
  <si>
    <t>ВФЧ/ШВ/У/1669</t>
  </si>
  <si>
    <t>Непом'яща Анна Олександрівна</t>
  </si>
  <si>
    <t>ВФЧ/ШВ/У/1670</t>
  </si>
  <si>
    <t>Олєшкевич Поліна Євгенівна</t>
  </si>
  <si>
    <t>ВФЧ/ШВ/У/1671</t>
  </si>
  <si>
    <t>Ракша Стефанія Максимівна</t>
  </si>
  <si>
    <t>ВФЧ/ШВ/У/1672</t>
  </si>
  <si>
    <t>Римар Маргарита Олександрівна</t>
  </si>
  <si>
    <t>ВФЧ/ШВ/У/1673</t>
  </si>
  <si>
    <t>Салун Олег Денисович</t>
  </si>
  <si>
    <t>ВФЧ/ШВ/У/1674</t>
  </si>
  <si>
    <t>Токарева Марія Олександрівна</t>
  </si>
  <si>
    <t>ВФЧ/ШВ/У/1675</t>
  </si>
  <si>
    <t>Чепеленко Іван Володимирович</t>
  </si>
  <si>
    <t>ВФЧ/ШВ/У/1676</t>
  </si>
  <si>
    <t>Шматок Олеся Романівна</t>
  </si>
  <si>
    <t>ВФЧ/ШВ/У/1677</t>
  </si>
  <si>
    <t>Ліцей №29 Оболонського району м.Києва імені Петра Калнишевського</t>
  </si>
  <si>
    <t>Гавриш Станіслав Костянтинович</t>
  </si>
  <si>
    <t>Бондаренко Дмитро</t>
  </si>
  <si>
    <t>ВФЧ/ШВ/У/1678</t>
  </si>
  <si>
    <t>Буяло Каріна</t>
  </si>
  <si>
    <t>ВФЧ/ШВ/У/1679</t>
  </si>
  <si>
    <t>Третяк Анна-Єлізавєта</t>
  </si>
  <si>
    <t>ВФЧ/ШВ/У/1680</t>
  </si>
  <si>
    <t>Гудима Олександр</t>
  </si>
  <si>
    <t>ВФЧ/ШВ/У/1681</t>
  </si>
  <si>
    <t>Ярмоленко Руслан</t>
  </si>
  <si>
    <t>ВФЧ/ШВ/У/1682</t>
  </si>
  <si>
    <t>Аніщенко Євгеній</t>
  </si>
  <si>
    <t>ВФЧ/ШВ/У/1683</t>
  </si>
  <si>
    <t>Гірченко Максим</t>
  </si>
  <si>
    <t>ВФЧ/ШВ/У/1684</t>
  </si>
  <si>
    <t>Одягайло Богдан</t>
  </si>
  <si>
    <t>ВФЧ/ШВ/У/1685</t>
  </si>
  <si>
    <t>Любченко Марк</t>
  </si>
  <si>
    <t>ВФЧ/ШВ/У/1686</t>
  </si>
  <si>
    <t>Скуйбіда Марія</t>
  </si>
  <si>
    <t>ВФЧ/ШВ/У/1687</t>
  </si>
  <si>
    <t>Бородін Даніїл</t>
  </si>
  <si>
    <t>ВФЧ/ШВ/У/1688</t>
  </si>
  <si>
    <t>Журавель Максим</t>
  </si>
  <si>
    <t>ВФЧ/ШВ/У/1689</t>
  </si>
  <si>
    <t>Дмитро Богданюк</t>
  </si>
  <si>
    <t>ВФЧ/ШВ/У/1690</t>
  </si>
  <si>
    <t>Рубанська Евеліна</t>
  </si>
  <si>
    <t>ВФЧ/ШВ/У/1691</t>
  </si>
  <si>
    <t>Князь Владислава</t>
  </si>
  <si>
    <t>ВФЧ/ШВ/У/1692</t>
  </si>
  <si>
    <t>Гошовська Діана</t>
  </si>
  <si>
    <t>ВФЧ/ШВ/У/1693</t>
  </si>
  <si>
    <t>Колісник Анна</t>
  </si>
  <si>
    <t>ВФЧ/ШВ/У/1694</t>
  </si>
  <si>
    <t>Лисяк Поліна</t>
  </si>
  <si>
    <t>ВФЧ/ШВ/У/1695</t>
  </si>
  <si>
    <t>Черненко Юлія</t>
  </si>
  <si>
    <t>ВФЧ/ШВ/У/1696</t>
  </si>
  <si>
    <t>Рудійко Анастасія</t>
  </si>
  <si>
    <t>ВФЧ/ШВ/У/1697</t>
  </si>
  <si>
    <t>Славутицький заклад загальної середньої освіти І-ІІІ ступенів №3 Славутицької міської ради Вишгородського району Київської області</t>
  </si>
  <si>
    <t>Галуза Наталія Олександрівна Андросович Тетяна Миколаївна</t>
  </si>
  <si>
    <t>Сухоставська Софія Сергіївна</t>
  </si>
  <si>
    <t>ВФЧ/ШВ/У/1698</t>
  </si>
  <si>
    <t>Янченко Катерина Станіславівна</t>
  </si>
  <si>
    <t>ВФЧ/ШВ/У/1699</t>
  </si>
  <si>
    <t>Спеціалізована загальноосвітня середня школа з поглибленим вивченням природничо математичних наук міста Києва №255</t>
  </si>
  <si>
    <t>Голютяк Тетяна Миколаївна</t>
  </si>
  <si>
    <t>Мухамеджанова Анна Рустамівна</t>
  </si>
  <si>
    <t>ВФЧ/ШВ/У/1700</t>
  </si>
  <si>
    <t>Борисенко Денис Олексійович</t>
  </si>
  <si>
    <t>ВФЧ/ШВ/У/1701</t>
  </si>
  <si>
    <t xml:space="preserve">Предславинський ліцей №56 Печерського району міста Києва </t>
  </si>
  <si>
    <t xml:space="preserve">Горлушко Ірина Георгіївна </t>
  </si>
  <si>
    <t>Пиріг Арсеній Олександрович</t>
  </si>
  <si>
    <t>ВФЧ/ШВ/У/1702</t>
  </si>
  <si>
    <t>Тертерян Маріам Араратівна</t>
  </si>
  <si>
    <t>ВФЧ/ШВ/У/1703</t>
  </si>
  <si>
    <t>Пунтус Денис Олексійович</t>
  </si>
  <si>
    <t>ВФЧ/ШВ/У/1704</t>
  </si>
  <si>
    <t>Юдін Тимофій Антонович</t>
  </si>
  <si>
    <t>ВФЧ/ШВ/У/1705</t>
  </si>
  <si>
    <t>Давидов Денис Вадимович</t>
  </si>
  <si>
    <t>ВФЧ/ШВ/У/1706</t>
  </si>
  <si>
    <t>Рожко Софія Олегівна</t>
  </si>
  <si>
    <t>ВФЧ/ШВ/У/1707</t>
  </si>
  <si>
    <t>Городельська Олександра Олександрівна</t>
  </si>
  <si>
    <t>ВФЧ/ШВ/У/1708</t>
  </si>
  <si>
    <t>Малахова Милана Олександрівна</t>
  </si>
  <si>
    <t>ВФЧ/ШВ/У/1709</t>
  </si>
  <si>
    <t>Багірова Каріна Ханалі-гизи</t>
  </si>
  <si>
    <t>ВФЧ/ШВ/У/1710</t>
  </si>
  <si>
    <t>Савченко Крістіна Костянтинівна</t>
  </si>
  <si>
    <t>ВФЧ/ШВ/У/1711</t>
  </si>
  <si>
    <t>Золотих Софія Андріївна</t>
  </si>
  <si>
    <t>ВФЧ/ШВ/У/1712</t>
  </si>
  <si>
    <t>Бойко Тимур Костянтинович</t>
  </si>
  <si>
    <t>ВФЧ/ШВ/У/1713</t>
  </si>
  <si>
    <t>Приліпка Матвій Миколайович</t>
  </si>
  <si>
    <t>ВФЧ/ШВ/У/1714</t>
  </si>
  <si>
    <t>Шамов Даніїл Васильович</t>
  </si>
  <si>
    <t>ВФЧ/ШВ/У/1715</t>
  </si>
  <si>
    <t>Стеблинський Іван Олександрович</t>
  </si>
  <si>
    <t>ВФЧ/ШВ/У/1716</t>
  </si>
  <si>
    <t>Мусієва Дарія Ігорівна</t>
  </si>
  <si>
    <t>ВФЧ/ШВ/У/1717</t>
  </si>
  <si>
    <t>Гірський ліцей Гірської сільської ради Бориспільського району Київської області</t>
  </si>
  <si>
    <t>Григоренко Людмила Василівна</t>
  </si>
  <si>
    <t>Василенко Надія Олексіївна</t>
  </si>
  <si>
    <t>ВФЧ/ШВ/У/1718</t>
  </si>
  <si>
    <t>Протченко Марія Василівна</t>
  </si>
  <si>
    <t>ВФЧ/ШВ/У/1719</t>
  </si>
  <si>
    <t>Спеціалізована школа І-ІІІ ступенів № 57 з поглибленим вивченням англійської мови Шевченківського району м. Києва</t>
  </si>
  <si>
    <t>Денисова Ірина Вікторівна учитель</t>
  </si>
  <si>
    <t>Барбінов Тимур Максимович</t>
  </si>
  <si>
    <t>ВФЧ/ШВ/У/1720</t>
  </si>
  <si>
    <t>Бойко Софія Костянтинівна</t>
  </si>
  <si>
    <t>ВФЧ/ШВ/У/1721</t>
  </si>
  <si>
    <t>Василець Олександра Олегівна</t>
  </si>
  <si>
    <t>ВФЧ/ШВ/У/1722</t>
  </si>
  <si>
    <t>Вʼязовик Олександра Олександрівна</t>
  </si>
  <si>
    <t>ВФЧ/ШВ/У/1723</t>
  </si>
  <si>
    <t>Витвицький Іван Сергійович</t>
  </si>
  <si>
    <t>ВФЧ/ШВ/У/1724</t>
  </si>
  <si>
    <t>Головка Федір Романович</t>
  </si>
  <si>
    <t>ВФЧ/ШВ/У/1725</t>
  </si>
  <si>
    <t>Дзвонок Кароліна Владиславівна</t>
  </si>
  <si>
    <t>ВФЧ/ШВ/У/1726</t>
  </si>
  <si>
    <t>Іванова Єлизавета Віталіївна</t>
  </si>
  <si>
    <t>ВФЧ/ШВ/У/1727</t>
  </si>
  <si>
    <t>Іванова Міла Віталіївна</t>
  </si>
  <si>
    <t>ВФЧ/ШВ/У/1728</t>
  </si>
  <si>
    <t>Квачадзе Отар Шалвович</t>
  </si>
  <si>
    <t>ВФЧ/ШВ/У/1729</t>
  </si>
  <si>
    <t>Кононов Дмитро Сергійович</t>
  </si>
  <si>
    <t>ВФЧ/ШВ/У/1730</t>
  </si>
  <si>
    <t>Костомаха Ірина Олександрівна</t>
  </si>
  <si>
    <t>ВФЧ/ШВ/У/1731</t>
  </si>
  <si>
    <t>Кравченко Вероніка Денисівна</t>
  </si>
  <si>
    <t>ВФЧ/ШВ/У/1732</t>
  </si>
  <si>
    <t>Круговий Максим</t>
  </si>
  <si>
    <t>ВФЧ/ШВ/У/1733</t>
  </si>
  <si>
    <t>Литвиненко Юрій Юрійович</t>
  </si>
  <si>
    <t>ВФЧ/ШВ/У/1734</t>
  </si>
  <si>
    <t>Лукаш Арсеній Олексійович</t>
  </si>
  <si>
    <t>ВФЧ/ШВ/У/1735</t>
  </si>
  <si>
    <t>Ніцер Єва Романівна</t>
  </si>
  <si>
    <t>ВФЧ/ШВ/У/1736</t>
  </si>
  <si>
    <t>Онищенко Федір Петрович</t>
  </si>
  <si>
    <t>ВФЧ/ШВ/У/1737</t>
  </si>
  <si>
    <t>Палієнко Михайло Георгій Андрійович</t>
  </si>
  <si>
    <t>ВФЧ/ШВ/У/1738</t>
  </si>
  <si>
    <t>Примак Дарія Сергіївна</t>
  </si>
  <si>
    <t>ВФЧ/ШВ/У/1739</t>
  </si>
  <si>
    <t>Пузир Захар Володимирович</t>
  </si>
  <si>
    <t>ВФЧ/ШВ/У/1740</t>
  </si>
  <si>
    <t>Роглєва Софія Владиславівна</t>
  </si>
  <si>
    <t>ВФЧ/ШВ/У/1741</t>
  </si>
  <si>
    <t>Мар'яна Рябоконь Дмитрівна</t>
  </si>
  <si>
    <t>ВФЧ/ШВ/У/1742</t>
  </si>
  <si>
    <t>Хохлова Дар'я Денисівна</t>
  </si>
  <si>
    <t>ВФЧ/ШВ/У/1743</t>
  </si>
  <si>
    <t>Броварський ліцей №4 ім. С. Олійника</t>
  </si>
  <si>
    <t>Доан Павло Ванович</t>
  </si>
  <si>
    <t>Малько Арсеній Ігорович</t>
  </si>
  <si>
    <t>ВФЧ/ШВ/У/1744</t>
  </si>
  <si>
    <t>Музалевська Валерія Андріївна</t>
  </si>
  <si>
    <t>ВФЧ/ШВ/У/1745</t>
  </si>
  <si>
    <t>Мадюдя Матвій Вікторович</t>
  </si>
  <si>
    <t>ВФЧ/ШВ/У/1746</t>
  </si>
  <si>
    <t>Предеін Олександр Денисович</t>
  </si>
  <si>
    <t>ВФЧ/ШВ/У/1747</t>
  </si>
  <si>
    <t>КЛ"Маріупольський ліцей міста Києва"</t>
  </si>
  <si>
    <t>Добровольська Світлана Вікторівна,Чернишова Маргарита Олександрівна</t>
  </si>
  <si>
    <t>Буцик Іван Олександрович</t>
  </si>
  <si>
    <t>ВФЧ/ШВ/У/1748</t>
  </si>
  <si>
    <t>Вєліков Артур Георгійович</t>
  </si>
  <si>
    <t>ВФЧ/ШВ/У/1749</t>
  </si>
  <si>
    <t>Вінокуров Андрій Євгенович</t>
  </si>
  <si>
    <t>ВФЧ/ШВ/У/1750</t>
  </si>
  <si>
    <t>Коломієць Наталія Олегівна</t>
  </si>
  <si>
    <t>ВФЧ/ШВ/У/1751</t>
  </si>
  <si>
    <t>Лафазанов Макар Павлович</t>
  </si>
  <si>
    <t>ВФЧ/ШВ/У/1752</t>
  </si>
  <si>
    <t>Павлов Кирило Олексійович</t>
  </si>
  <si>
    <t>ВФЧ/ШВ/У/1753</t>
  </si>
  <si>
    <t>Рубель Іван Володимирович</t>
  </si>
  <si>
    <t>ВФЧ/ШВ/У/1754</t>
  </si>
  <si>
    <t>Суслов Руслан андрійович</t>
  </si>
  <si>
    <t>ВФЧ/ШВ/У/1755</t>
  </si>
  <si>
    <t>Макаренко Олександр Миколайович</t>
  </si>
  <si>
    <t>ВФЧ/ШВ/У/1756</t>
  </si>
  <si>
    <t>Мар'янов Михайло Андрійович</t>
  </si>
  <si>
    <t>ВФЧ/ШВ/У/1757</t>
  </si>
  <si>
    <t>Шелістов Ігор Віталійович</t>
  </si>
  <si>
    <t>ВФЧ/ШВ/У/1758</t>
  </si>
  <si>
    <t>Гриненко Мирослава Андріївна</t>
  </si>
  <si>
    <t>ВФЧ/ШВ/У/1759</t>
  </si>
  <si>
    <t>Чертков Кирило Андрійович</t>
  </si>
  <si>
    <t>ВФЧ/ШВ/У/1760</t>
  </si>
  <si>
    <t>Середня загальноосвітня школа № 35</t>
  </si>
  <si>
    <t>Духніцький Юрій Олексійович</t>
  </si>
  <si>
    <t>Бондарчук Анастсія</t>
  </si>
  <si>
    <t>ВФЧ/ШВ/У/1761</t>
  </si>
  <si>
    <t>Біла Поліна</t>
  </si>
  <si>
    <t>ВФЧ/ШВ/У/1762</t>
  </si>
  <si>
    <t>Смовж Марія</t>
  </si>
  <si>
    <t>ВФЧ/ШВ/У/1763</t>
  </si>
  <si>
    <t>Федотова Діана</t>
  </si>
  <si>
    <t>ВФЧ/ШВ/У/1764</t>
  </si>
  <si>
    <t>Школа I-III ступенів №58</t>
  </si>
  <si>
    <t>Железнякова Анна Едуардівна</t>
  </si>
  <si>
    <t>Пугач Маргарита Костянтинівна</t>
  </si>
  <si>
    <t>ВФЧ/ШВ/У/1765</t>
  </si>
  <si>
    <t>Боклан Олександр Євгенович</t>
  </si>
  <si>
    <t>ВФЧ/ШВ/У/1766</t>
  </si>
  <si>
    <t>Рімек Олександр Євгенович</t>
  </si>
  <si>
    <t>ВФЧ/ШВ/У/1767</t>
  </si>
  <si>
    <t>Коцюба Анна Олексіївна</t>
  </si>
  <si>
    <t>ВФЧ/ШВ/У/1768</t>
  </si>
  <si>
    <t>Бібік Олена Дмитрівна</t>
  </si>
  <si>
    <t>ВФЧ/ШВ/У/1769</t>
  </si>
  <si>
    <t>Петров Володимир Михайлович</t>
  </si>
  <si>
    <t>ВФЧ/ШВ/У/1770</t>
  </si>
  <si>
    <t>Шевелєв Ілля Олександрович</t>
  </si>
  <si>
    <t>ВФЧ/ШВ/У/1771</t>
  </si>
  <si>
    <t>Синиця Олександр Олександрович</t>
  </si>
  <si>
    <t>ВФЧ/ШВ/У/1772</t>
  </si>
  <si>
    <t>Олійник Катерина Михайлівна</t>
  </si>
  <si>
    <t>ВФЧ/ШВ/У/1773</t>
  </si>
  <si>
    <t>Сидорук Анастасія Григорівна</t>
  </si>
  <si>
    <t>ВФЧ/ШВ/У/1774</t>
  </si>
  <si>
    <t>Дорош Аліна Олегівна</t>
  </si>
  <si>
    <t>ВФЧ/ШВ/У/1775</t>
  </si>
  <si>
    <t>Вегерич Олег Віталійович</t>
  </si>
  <si>
    <t>ВФЧ/ШВ/У/1776</t>
  </si>
  <si>
    <t>Риженко Богдан Сергійович</t>
  </si>
  <si>
    <t>ВФЧ/ШВ/У/1777</t>
  </si>
  <si>
    <t>Мурадова Марія Маратівна</t>
  </si>
  <si>
    <t>ВФЧ/ШВ/У/1778</t>
  </si>
  <si>
    <t>Стрілець Георгій Вячеславович</t>
  </si>
  <si>
    <t>ВФЧ/ШВ/У/1779</t>
  </si>
  <si>
    <t>Гаркуша Кирило Вітольдович</t>
  </si>
  <si>
    <t>ВФЧ/ШВ/У/1780</t>
  </si>
  <si>
    <t>Симоненко Олександра Григорівна</t>
  </si>
  <si>
    <t>ВФЧ/ШВ/У/1781</t>
  </si>
  <si>
    <t>Капніна Ксенія Андріївна</t>
  </si>
  <si>
    <t>ВФЧ/ШВ/У/1782</t>
  </si>
  <si>
    <t>Гурбо Діана Євгенівна</t>
  </si>
  <si>
    <t>ВФЧ/ШВ/У/1783</t>
  </si>
  <si>
    <t xml:space="preserve">Ліцей 214 </t>
  </si>
  <si>
    <t>Загідуліна Наталія Георгіївна</t>
  </si>
  <si>
    <t>Придворна Вероніка Костянтинівна</t>
  </si>
  <si>
    <t>ВФЧ/ШВ/У/1784</t>
  </si>
  <si>
    <t>Коновалова Алеся Андріївна</t>
  </si>
  <si>
    <t>ВФЧ/ШВ/У/1785</t>
  </si>
  <si>
    <t>Горохов Вадим Олегович</t>
  </si>
  <si>
    <t>ВФЧ/ШВ/У/1786</t>
  </si>
  <si>
    <t>Левченко Олександр Дмитрович</t>
  </si>
  <si>
    <t>ВФЧ/ШВ/У/1787</t>
  </si>
  <si>
    <t>Лещенко Олександр Михайлович</t>
  </si>
  <si>
    <t>ВФЧ/ШВ/У/1788</t>
  </si>
  <si>
    <t>Пономаренко Ніка Андріївна</t>
  </si>
  <si>
    <t>ВФЧ/ШВ/У/1789</t>
  </si>
  <si>
    <t>Матюшенко Микита Сергійович</t>
  </si>
  <si>
    <t>ВФЧ/ШВ/У/1790</t>
  </si>
  <si>
    <t>Гаркуша Дарья Юріївна</t>
  </si>
  <si>
    <t>ВФЧ/ШВ/У/1791</t>
  </si>
  <si>
    <t>Іванченко Діана Богданівна</t>
  </si>
  <si>
    <t>ВФЧ/ШВ/У/1792</t>
  </si>
  <si>
    <t>Кулініч Валерія Юріївна</t>
  </si>
  <si>
    <t>ВФЧ/ШВ/У/1793</t>
  </si>
  <si>
    <t>Марченко Вероніка Вадимівна</t>
  </si>
  <si>
    <t>ВФЧ/ШВ/У/1794</t>
  </si>
  <si>
    <t>Стрижак Ангеліна Олександрівна</t>
  </si>
  <si>
    <t>ВФЧ/ШВ/У/1795</t>
  </si>
  <si>
    <t>Загальноосвітній навчальний заклад І-ІІІ ступенів "Спеціалізована школа № 271 із поглибленим вивченням внформаційних технологій"</t>
  </si>
  <si>
    <t>Зайцева Катерина Сергіївна</t>
  </si>
  <si>
    <t>Каспрук Дмитро Анатолійович</t>
  </si>
  <si>
    <t>ВФЧ/ШВ/У/1796</t>
  </si>
  <si>
    <t>Збараг Артем  Русланович</t>
  </si>
  <si>
    <t>ВФЧ/ШВ/У/1797</t>
  </si>
  <si>
    <t>Бушуєв Олексій  Іванович</t>
  </si>
  <si>
    <t>ВФЧ/ШВ/У/1798</t>
  </si>
  <si>
    <t>Панов Ярослав Олексійович</t>
  </si>
  <si>
    <t>ВФЧ/ШВ/У/1799</t>
  </si>
  <si>
    <t>Самойленко Владислав</t>
  </si>
  <si>
    <t>ВФЧ/ШВ/У/1800</t>
  </si>
  <si>
    <t>Беба Володимир  Анатолійович</t>
  </si>
  <si>
    <t>ВФЧ/ШВ/У/1801</t>
  </si>
  <si>
    <t>Гошовський Нікіта  Романович</t>
  </si>
  <si>
    <t>ВФЧ/ШВ/У/1802</t>
  </si>
  <si>
    <t>Слободян Андрій  Олександрович</t>
  </si>
  <si>
    <t>ВФЧ/ШВ/У/1803</t>
  </si>
  <si>
    <t>Фузік Тимофій Євгенович</t>
  </si>
  <si>
    <t>ВФЧ/ШВ/У/1804</t>
  </si>
  <si>
    <t>Ященко Олексій Дмитрович</t>
  </si>
  <si>
    <t>ВФЧ/ШВ/У/1805</t>
  </si>
  <si>
    <t>Власюк Денис Сергійович</t>
  </si>
  <si>
    <t>ВФЧ/ШВ/У/1806</t>
  </si>
  <si>
    <t>Харевич Никита  Андрійович</t>
  </si>
  <si>
    <t>ВФЧ/ШВ/У/1807</t>
  </si>
  <si>
    <t>Ліцей 23 "Кадетський корпус " імені Володимира Великого</t>
  </si>
  <si>
    <t>Зайченко Вікторія Юріївна</t>
  </si>
  <si>
    <t>Гончаренко Ростислав Володимирович</t>
  </si>
  <si>
    <t>ВФЧ/ШВ/У/1808</t>
  </si>
  <si>
    <t>Гришко Спартак Сергійович</t>
  </si>
  <si>
    <t>ВФЧ/ШВ/У/1809</t>
  </si>
  <si>
    <t>Давидов Олександр Вячеславович</t>
  </si>
  <si>
    <t>ВФЧ/ШВ/У/1810</t>
  </si>
  <si>
    <t>Дорофей ІванОлександрович</t>
  </si>
  <si>
    <t>ВФЧ/ШВ/У/1811</t>
  </si>
  <si>
    <t>Дрючков Єгор Володимирович</t>
  </si>
  <si>
    <t>ВФЧ/ШВ/У/1812</t>
  </si>
  <si>
    <t>Кальмуцький Лев Володимирович</t>
  </si>
  <si>
    <t>ВФЧ/ШВ/У/1813</t>
  </si>
  <si>
    <t>Мельник Іван Романович</t>
  </si>
  <si>
    <t>ВФЧ/ШВ/У/1814</t>
  </si>
  <si>
    <t>Рожен Антон Сергійович</t>
  </si>
  <si>
    <t>ВФЧ/ШВ/У/1815</t>
  </si>
  <si>
    <t>Скрипак Вікторія Олександрівна</t>
  </si>
  <si>
    <t>ВФЧ/ШВ/У/1816</t>
  </si>
  <si>
    <t>Шиян Софія Василівна</t>
  </si>
  <si>
    <t>ВФЧ/ШВ/У/1817</t>
  </si>
  <si>
    <t>Юрченко Марія Андріївна</t>
  </si>
  <si>
    <t>ВФЧ/ШВ/У/1818</t>
  </si>
  <si>
    <t>Приватна школа "Афіни" м. Києва</t>
  </si>
  <si>
    <t>Зінов'єва Віолета Сергіївна</t>
  </si>
  <si>
    <t>Скляр Марк</t>
  </si>
  <si>
    <t>ВФЧ/ШВ/У/1819</t>
  </si>
  <si>
    <t>Євстіфєєва Єлизавета</t>
  </si>
  <si>
    <t>ВФЧ/ШВ/У/1820</t>
  </si>
  <si>
    <t>Шляхтиченко Володимир</t>
  </si>
  <si>
    <t>ВФЧ/ШВ/У/1821</t>
  </si>
  <si>
    <t>Єгер Данило</t>
  </si>
  <si>
    <t>ВФЧ/ШВ/У/1822</t>
  </si>
  <si>
    <t>Бикова Віра</t>
  </si>
  <si>
    <t>ВФЧ/ШВ/У/1823</t>
  </si>
  <si>
    <t>Лемешко Варвара</t>
  </si>
  <si>
    <t>ВФЧ/ШВ/У/1824</t>
  </si>
  <si>
    <t>Полякова Аліна</t>
  </si>
  <si>
    <t>ВФЧ/ШВ/У/1825</t>
  </si>
  <si>
    <t>Шен Софі</t>
  </si>
  <si>
    <t>ВФЧ/ШВ/У/1826</t>
  </si>
  <si>
    <t>Петров Назар</t>
  </si>
  <si>
    <t>ВФЧ/ШВ/У/1827</t>
  </si>
  <si>
    <t>Маркарян Георгій</t>
  </si>
  <si>
    <t>ВФЧ/ШВ/У/1828</t>
  </si>
  <si>
    <t>Краскевич Максим</t>
  </si>
  <si>
    <t>ВФЧ/ШВ/У/1829</t>
  </si>
  <si>
    <t>Максимов Власдислав</t>
  </si>
  <si>
    <t>ВФЧ/ШВ/У/1830</t>
  </si>
  <si>
    <t>Лісова Дар'я</t>
  </si>
  <si>
    <t>ВФЧ/ШВ/У/1831</t>
  </si>
  <si>
    <t>Мельницька Єлизавета</t>
  </si>
  <si>
    <t>ВФЧ/ШВ/У/1832</t>
  </si>
  <si>
    <t>Вартанян Валерій</t>
  </si>
  <si>
    <t>ВФЧ/ШВ/У/1833</t>
  </si>
  <si>
    <t>Іщенко Олександра</t>
  </si>
  <si>
    <t>ВФЧ/ШВ/У/1834</t>
  </si>
  <si>
    <t>Піївський ліцей "Ерудит" Ржищівської міської ради Київської області</t>
  </si>
  <si>
    <t>Ковтун Юлія Іванівна</t>
  </si>
  <si>
    <t>Алексєєв Андрій Євгенович</t>
  </si>
  <si>
    <t>ВФЧ/ШВ/У/1835</t>
  </si>
  <si>
    <t>Вільчінський  Володимир Дмитрович</t>
  </si>
  <si>
    <t>ВФЧ/ШВ/У/1836</t>
  </si>
  <si>
    <t>Бєлоус Яна Сергіївна</t>
  </si>
  <si>
    <t>ВФЧ/ШВ/У/1837</t>
  </si>
  <si>
    <t>Автомієнко Анатолій Михайлович</t>
  </si>
  <si>
    <t>ВФЧ/ШВ/У/1838</t>
  </si>
  <si>
    <t>Коцюбинський ліцей №2 Коцюбинської селищної ради</t>
  </si>
  <si>
    <t>Кожухар Надія Михайлівна</t>
  </si>
  <si>
    <t>Бордюк Артем Сергійович</t>
  </si>
  <si>
    <t>ВФЧ/ШВ/У/1839</t>
  </si>
  <si>
    <t>Бордюк Нікіта Сергійович</t>
  </si>
  <si>
    <t>ВФЧ/ШВ/У/1840</t>
  </si>
  <si>
    <t>Ведєнєєв-Кшемінський Деніс Русланович</t>
  </si>
  <si>
    <t>ВФЧ/ШВ/У/1841</t>
  </si>
  <si>
    <t>Вовкогон Анастасія Романівна</t>
  </si>
  <si>
    <t>ВФЧ/ШВ/У/1842</t>
  </si>
  <si>
    <t>Загниборода Владислава Євгенівна</t>
  </si>
  <si>
    <t>ВФЧ/ШВ/У/1843</t>
  </si>
  <si>
    <t>Закутна Дар’я Ростиславівна</t>
  </si>
  <si>
    <t>ВФЧ/ШВ/У/1844</t>
  </si>
  <si>
    <t>Омельченко Ігор Євгенович</t>
  </si>
  <si>
    <t>ВФЧ/ШВ/У/1845</t>
  </si>
  <si>
    <t>Чернявський Олег Валерійович</t>
  </si>
  <si>
    <t>ВФЧ/ШВ/У/1846</t>
  </si>
  <si>
    <t>Шинкаренко Олександра Валеріївна</t>
  </si>
  <si>
    <t>ВФЧ/ШВ/У/1847</t>
  </si>
  <si>
    <t>Шинкарук Ніколетта Ігорівна</t>
  </si>
  <si>
    <t>ВФЧ/ШВ/У/1848</t>
  </si>
  <si>
    <t>Шинкарук Ольга Ігорівна</t>
  </si>
  <si>
    <t>ВФЧ/ШВ/У/1849</t>
  </si>
  <si>
    <t>Штуль Анастасія Вадимівна</t>
  </si>
  <si>
    <t>ВФЧ/ШВ/У/1850</t>
  </si>
  <si>
    <t>Ліцей № 101, м. Київ</t>
  </si>
  <si>
    <t>Коломієць Тетяна Миколаївна</t>
  </si>
  <si>
    <t>Назаревич Анастасія Валеріївна</t>
  </si>
  <si>
    <t>ВФЧ/ШВ/У/1851</t>
  </si>
  <si>
    <t>Бондаренко Валерія Владиславівна</t>
  </si>
  <si>
    <t>ВФЧ/ШВ/У/1852</t>
  </si>
  <si>
    <t>Комунальний заклад Київської обласної ради"Київський обласний ліцей"</t>
  </si>
  <si>
    <t>Купріянчук Любов Анатоліївна</t>
  </si>
  <si>
    <t>Баніт Марина Володимирівна</t>
  </si>
  <si>
    <t>ВФЧ/ШВ/У/1853</t>
  </si>
  <si>
    <t>Бондаренко Ангеліна Сергіївна</t>
  </si>
  <si>
    <t>ВФЧ/ШВ/У/1854</t>
  </si>
  <si>
    <t>Кирилов АндрійОлександрович</t>
  </si>
  <si>
    <t>ВФЧ/ШВ/У/1855</t>
  </si>
  <si>
    <t>Корольчук Владислав Олександрович</t>
  </si>
  <si>
    <t>ВФЧ/ШВ/У/1856</t>
  </si>
  <si>
    <t>Мартинюк Кіра Юріївна</t>
  </si>
  <si>
    <t>ВФЧ/ШВ/У/1857</t>
  </si>
  <si>
    <t>Марчук Владислав Сергійович</t>
  </si>
  <si>
    <t>ВФЧ/ШВ/У/1858</t>
  </si>
  <si>
    <t>Оберемчук Богдан Євгенійович</t>
  </si>
  <si>
    <t>ВФЧ/ШВ/У/1859</t>
  </si>
  <si>
    <t>Овчаренко Євгенія Максимівна</t>
  </si>
  <si>
    <t>ВФЧ/ШВ/У/1860</t>
  </si>
  <si>
    <t>Присяжнюк Каріна Сергіївна</t>
  </si>
  <si>
    <t>ВФЧ/ШВ/У/1861</t>
  </si>
  <si>
    <t>Смітюх Ігор Дмитрович</t>
  </si>
  <si>
    <t>ВФЧ/ШВ/У/1862</t>
  </si>
  <si>
    <t>Сургай Анастасія Євгенівна</t>
  </si>
  <si>
    <t>ВФЧ/ШВ/У/1863</t>
  </si>
  <si>
    <t>Тимошенко Ярослав Романович</t>
  </si>
  <si>
    <t>ВФЧ/ШВ/У/1864</t>
  </si>
  <si>
    <t>Андросов Олександр Олексійович</t>
  </si>
  <si>
    <t>ВФЧ/ШВ/У/1865</t>
  </si>
  <si>
    <t>Борівська Вікторія Володимирівна</t>
  </si>
  <si>
    <t>ВФЧ/ШВ/У/1866</t>
  </si>
  <si>
    <t>Вербіцька Альона Ярославівна</t>
  </si>
  <si>
    <t>ВФЧ/ШВ/У/1867</t>
  </si>
  <si>
    <t>Гаркавлюк Вероніка Валеріївна</t>
  </si>
  <si>
    <t>ВФЧ/ШВ/У/1868</t>
  </si>
  <si>
    <t>Горбенко Анастасія Юріївна</t>
  </si>
  <si>
    <t>ВФЧ/ШВ/У/1869</t>
  </si>
  <si>
    <t>Грищенко Катерина Андріївна</t>
  </si>
  <si>
    <t>ВФЧ/ШВ/У/1870</t>
  </si>
  <si>
    <t>Дорубайло Анюта Сергіївна</t>
  </si>
  <si>
    <t>ВФЧ/ШВ/У/1871</t>
  </si>
  <si>
    <t>Колісник Анна Сергіївна</t>
  </si>
  <si>
    <t>ВФЧ/ШВ/У/1872</t>
  </si>
  <si>
    <t>Крек Ольга Андріївнв</t>
  </si>
  <si>
    <t>ВФЧ/ШВ/У/1873</t>
  </si>
  <si>
    <t>Кулик Світлана Миколаївна</t>
  </si>
  <si>
    <t>ВФЧ/ШВ/У/1874</t>
  </si>
  <si>
    <t>Пистін Пєрєсвєт Олександрович</t>
  </si>
  <si>
    <t>ВФЧ/ШВ/У/1875</t>
  </si>
  <si>
    <t>Рижук Альона Олександрівна</t>
  </si>
  <si>
    <t>ВФЧ/ШВ/У/1876</t>
  </si>
  <si>
    <t>Рижук Дарина Сергіївна</t>
  </si>
  <si>
    <t>ВФЧ/ШВ/У/1877</t>
  </si>
  <si>
    <t>Роєнко Євгеній Юрійович</t>
  </si>
  <si>
    <t>ВФЧ/ШВ/У/1878</t>
  </si>
  <si>
    <t>Снитков Максим Ярославович</t>
  </si>
  <si>
    <t>ВФЧ/ШВ/У/1879</t>
  </si>
  <si>
    <t>Страшевський Богдан Ярославович</t>
  </si>
  <si>
    <t>ВФЧ/ШВ/У/1880</t>
  </si>
  <si>
    <t>Черниш Євгенія Миколаївна</t>
  </si>
  <si>
    <t>ВФЧ/ШВ/У/1881</t>
  </si>
  <si>
    <t>Середня загальноосвітня школа №162 м. Києва</t>
  </si>
  <si>
    <t>Маковенко Людмила Олександрівна</t>
  </si>
  <si>
    <t>Блонський Данило Іванович</t>
  </si>
  <si>
    <t>ВФЧ/ШВ/У/1882</t>
  </si>
  <si>
    <t>Боцман Тимофій Вячеславович</t>
  </si>
  <si>
    <t>ВФЧ/ШВ/У/1883</t>
  </si>
  <si>
    <t>Гуменний Владислав Олександрович</t>
  </si>
  <si>
    <t>ВФЧ/ШВ/У/1884</t>
  </si>
  <si>
    <t>Діброва Ірина Андріївна</t>
  </si>
  <si>
    <t>ВФЧ/ШВ/У/1885</t>
  </si>
  <si>
    <t>Загірний Ілля Олександрович</t>
  </si>
  <si>
    <t>ВФЧ/ШВ/У/1886</t>
  </si>
  <si>
    <t>Катрич Каріна Євгенівна</t>
  </si>
  <si>
    <t>ВФЧ/ШВ/У/1887</t>
  </si>
  <si>
    <t>Качуровський Владислав Олексійович</t>
  </si>
  <si>
    <t>ВФЧ/ШВ/У/1888</t>
  </si>
  <si>
    <t>Конокотін Данило Олексійович</t>
  </si>
  <si>
    <t>ВФЧ/ШВ/У/1889</t>
  </si>
  <si>
    <t>Конокотіна Марія Олексіївна</t>
  </si>
  <si>
    <t>ВФЧ/ШВ/У/1890</t>
  </si>
  <si>
    <t>Костенко Поліна Вадимівна</t>
  </si>
  <si>
    <t>ВФЧ/ШВ/У/1891</t>
  </si>
  <si>
    <t>Куликова Діана Олександрівна</t>
  </si>
  <si>
    <t>ВФЧ/ШВ/У/1892</t>
  </si>
  <si>
    <t>Линник Антон Миколайович</t>
  </si>
  <si>
    <t>ВФЧ/ШВ/У/1893</t>
  </si>
  <si>
    <t>Марченко Милана Артемівна</t>
  </si>
  <si>
    <t>ВФЧ/ШВ/У/1894</t>
  </si>
  <si>
    <t>Ничипоренко Вікторія Ярославівна</t>
  </si>
  <si>
    <t>ВФЧ/ШВ/У/1895</t>
  </si>
  <si>
    <t>Примак Каріна Михайлівна</t>
  </si>
  <si>
    <t>ВФЧ/ШВ/У/1896</t>
  </si>
  <si>
    <t>Приходько Олександр Сергійович</t>
  </si>
  <si>
    <t>ВФЧ/ШВ/У/1897</t>
  </si>
  <si>
    <t>Скульбіда Даніїл Євгенович</t>
  </si>
  <si>
    <t>ВФЧ/ШВ/У/1898</t>
  </si>
  <si>
    <t>Ткаченко Любов Сергіївна</t>
  </si>
  <si>
    <t>ВФЧ/ШВ/У/1899</t>
  </si>
  <si>
    <t>Тюрін Тимофій Олександрович</t>
  </si>
  <si>
    <t>ВФЧ/ШВ/У/1900</t>
  </si>
  <si>
    <t>Харченко Ілля Юрійович</t>
  </si>
  <si>
    <t>ВФЧ/ШВ/У/1901</t>
  </si>
  <si>
    <t>Хорошун Марія Володимирівна</t>
  </si>
  <si>
    <t>ВФЧ/ШВ/У/1902</t>
  </si>
  <si>
    <t>Шембель Аріна Іванівна</t>
  </si>
  <si>
    <t>ВФЧ/ШВ/У/1903</t>
  </si>
  <si>
    <t>Яценко Максим Олександрович</t>
  </si>
  <si>
    <t>ВФЧ/ШВ/У/1904</t>
  </si>
  <si>
    <t>Беглецова Анна Олександрівна</t>
  </si>
  <si>
    <t>ВФЧ/ШВ/У/1905</t>
  </si>
  <si>
    <t>Будак Матвій Андрійович</t>
  </si>
  <si>
    <t>ВФЧ/ШВ/У/1906</t>
  </si>
  <si>
    <t>Гетьманенко Данііл Сергійович</t>
  </si>
  <si>
    <t>ВФЧ/ШВ/У/1907</t>
  </si>
  <si>
    <t>Гребиник Евеліна Дмитрівна</t>
  </si>
  <si>
    <t>ВФЧ/ШВ/У/1908</t>
  </si>
  <si>
    <t>Греченюк Євгенія Олександрівна</t>
  </si>
  <si>
    <t>ВФЧ/ШВ/У/1909</t>
  </si>
  <si>
    <t>Грицик Анна Андріївна</t>
  </si>
  <si>
    <t>ВФЧ/ШВ/У/1910</t>
  </si>
  <si>
    <t>Жидецький Акім Вячеславович</t>
  </si>
  <si>
    <t>ВФЧ/ШВ/У/1911</t>
  </si>
  <si>
    <t>Корнелюк Володимир Володимирович</t>
  </si>
  <si>
    <t>ВФЧ/ШВ/У/1912</t>
  </si>
  <si>
    <t>Косарєв Даніїл Володимирович</t>
  </si>
  <si>
    <t>ВФЧ/ШВ/У/1913</t>
  </si>
  <si>
    <t>Косенко Кіра Юріївна</t>
  </si>
  <si>
    <t>ВФЧ/ШВ/У/1914</t>
  </si>
  <si>
    <t>Мірошніченко Вікторія Олександрівна</t>
  </si>
  <si>
    <t>ВФЧ/ШВ/У/1915</t>
  </si>
  <si>
    <t>Перепелюк Яна Сергіївна</t>
  </si>
  <si>
    <t>ВФЧ/ШВ/У/1916</t>
  </si>
  <si>
    <t>Пильгун Поліна Олександрівна</t>
  </si>
  <si>
    <t>ВФЧ/ШВ/У/1917</t>
  </si>
  <si>
    <t>Пікуля Карина Олександрівна</t>
  </si>
  <si>
    <t>ВФЧ/ШВ/У/1918</t>
  </si>
  <si>
    <t>Плешка Валентин Вадимович</t>
  </si>
  <si>
    <t>ВФЧ/ШВ/У/1919</t>
  </si>
  <si>
    <t>Притула Інна Сергіївна</t>
  </si>
  <si>
    <t>ВФЧ/ШВ/У/1920</t>
  </si>
  <si>
    <t>Садовський Степан Володимирович</t>
  </si>
  <si>
    <t>ВФЧ/ШВ/У/1921</t>
  </si>
  <si>
    <t>Сапєльніков Олег Дмитрович</t>
  </si>
  <si>
    <t>ВФЧ/ШВ/У/1922</t>
  </si>
  <si>
    <t>Український фізико-математичний ліцей КНУ імені Тараса Шевченка</t>
  </si>
  <si>
    <t xml:space="preserve">Мельник-Мірзоян Арміне Лаврентіївна </t>
  </si>
  <si>
    <t>Черепова Софія</t>
  </si>
  <si>
    <t>ВФЧ/ШВ/У/1923</t>
  </si>
  <si>
    <t>Струтинська Софія</t>
  </si>
  <si>
    <t>ВФЧ/ШВ/У/1924</t>
  </si>
  <si>
    <t>Лісаченко Єгор</t>
  </si>
  <si>
    <t>ВФЧ/ШВ/У/1925</t>
  </si>
  <si>
    <t>Рудковська Олександра</t>
  </si>
  <si>
    <t>ВФЧ/ШВ/У/1926</t>
  </si>
  <si>
    <t>Васильєв Ельдар</t>
  </si>
  <si>
    <t>ВФЧ/ШВ/У/1927</t>
  </si>
  <si>
    <t>Денисова Марія</t>
  </si>
  <si>
    <t>ВФЧ/ШВ/У/1928</t>
  </si>
  <si>
    <t>Сизова Анна</t>
  </si>
  <si>
    <t>ВФЧ/ШВ/У/1929</t>
  </si>
  <si>
    <t>Ярмола Аріна</t>
  </si>
  <si>
    <t>ВФЧ/ШВ/У/1930</t>
  </si>
  <si>
    <t xml:space="preserve">		Броварський ліцей №9 Броварської міської ради Броварського району Київської області</t>
  </si>
  <si>
    <t>Михайлова Наталія Анатоліївна</t>
  </si>
  <si>
    <t>Яцина Олексій Сергійович</t>
  </si>
  <si>
    <t>ВФЧ/ШВ/У/1931</t>
  </si>
  <si>
    <t>Марченко Вадим Олександрович</t>
  </si>
  <si>
    <t>ВФЧ/ШВ/У/1932</t>
  </si>
  <si>
    <t>Ем Сергій Євгенович</t>
  </si>
  <si>
    <t>ВФЧ/ШВ/У/1933</t>
  </si>
  <si>
    <t>Уманець Арсеній Романович</t>
  </si>
  <si>
    <t>ВФЧ/ШВ/У/1934</t>
  </si>
  <si>
    <t>Мурадов Емір Ельчинович</t>
  </si>
  <si>
    <t>ВФЧ/ШВ/У/1935</t>
  </si>
  <si>
    <t>Холодьон Олег Олександрович</t>
  </si>
  <si>
    <t>ВФЧ/ШВ/У/1936</t>
  </si>
  <si>
    <t>Бруєнко Максим Дмитрович</t>
  </si>
  <si>
    <t>ВФЧ/ШВ/У/1937</t>
  </si>
  <si>
    <t>Возна Вікторія Сергіївна</t>
  </si>
  <si>
    <t>ВФЧ/ШВ/У/1938</t>
  </si>
  <si>
    <t>Ставнічук Поліна Юріївна</t>
  </si>
  <si>
    <t>ВФЧ/ШВ/У/1939</t>
  </si>
  <si>
    <t>Спеціалізована авіаційно-технологічна школа № 203</t>
  </si>
  <si>
    <t>Павлова Наталія Олександрівна</t>
  </si>
  <si>
    <t>Баюк Олександр Володимирович</t>
  </si>
  <si>
    <t>ВФЧ/ШВ/У/1940</t>
  </si>
  <si>
    <t>Бондаренко Анна Ігорівна</t>
  </si>
  <si>
    <t>ВФЧ/ШВ/У/1941</t>
  </si>
  <si>
    <t>Борисенко Катерина Григорівна</t>
  </si>
  <si>
    <t>ВФЧ/ШВ/У/1942</t>
  </si>
  <si>
    <t>Важедрон Єгор Дмитрович</t>
  </si>
  <si>
    <t>ВФЧ/ШВ/У/1943</t>
  </si>
  <si>
    <t>Грубчак Іван Сергійович</t>
  </si>
  <si>
    <t>ВФЧ/ШВ/У/1944</t>
  </si>
  <si>
    <t>Диба Дмитро Сергійович</t>
  </si>
  <si>
    <t>ВФЧ/ШВ/У/1945</t>
  </si>
  <si>
    <t>Дубешко Марія Володимирівна</t>
  </si>
  <si>
    <t>ВФЧ/ШВ/У/1946</t>
  </si>
  <si>
    <t>Дячук Вікторія Сергіївна</t>
  </si>
  <si>
    <t>ВФЧ/ШВ/У/1947</t>
  </si>
  <si>
    <t>Карпухно Вікторія Сергіївна</t>
  </si>
  <si>
    <t>ВФЧ/ШВ/У/1948</t>
  </si>
  <si>
    <t>Квітченко Тетяна Андріївна</t>
  </si>
  <si>
    <t>ВФЧ/ШВ/У/1949</t>
  </si>
  <si>
    <t>Кіхтенко Мирослава Юріївна</t>
  </si>
  <si>
    <t>ВФЧ/ШВ/У/1950</t>
  </si>
  <si>
    <t>Климчук Артур Миколайович</t>
  </si>
  <si>
    <t>ВФЧ/ШВ/У/1951</t>
  </si>
  <si>
    <t>Колісник Марія Олександрівна</t>
  </si>
  <si>
    <t>ВФЧ/ШВ/У/1952</t>
  </si>
  <si>
    <t>Косенко Микита Сергійович</t>
  </si>
  <si>
    <t>ВФЧ/ШВ/У/1953</t>
  </si>
  <si>
    <t>Костюк Софія Вадимівна</t>
  </si>
  <si>
    <t>ВФЧ/ШВ/У/1954</t>
  </si>
  <si>
    <t>Ненюк Дмитро Андрійович</t>
  </si>
  <si>
    <t>ВФЧ/ШВ/У/1955</t>
  </si>
  <si>
    <t>Одарченко Діана Денисівна</t>
  </si>
  <si>
    <t>ВФЧ/ШВ/У/1956</t>
  </si>
  <si>
    <t>Охрімчук Максим Олександрович</t>
  </si>
  <si>
    <t>ВФЧ/ШВ/У/1957</t>
  </si>
  <si>
    <t>Поєдинок Дмитро Максимович</t>
  </si>
  <si>
    <t>ВФЧ/ШВ/У/1958</t>
  </si>
  <si>
    <t>Покраса Вікторія Василівна</t>
  </si>
  <si>
    <t>ВФЧ/ШВ/У/1959</t>
  </si>
  <si>
    <t>Репік Анастасія Валентинівна</t>
  </si>
  <si>
    <t>ВФЧ/ШВ/У/1960</t>
  </si>
  <si>
    <t>Склонний Дмитро Ігорович</t>
  </si>
  <si>
    <t>ВФЧ/ШВ/У/1961</t>
  </si>
  <si>
    <t>Усенко Анастасія Євгеніївна</t>
  </si>
  <si>
    <t>ВФЧ/ШВ/У/1962</t>
  </si>
  <si>
    <t>ТОВ "Вишгородський заклад загальної середньої освіти-ліцей "Ектів Скул"</t>
  </si>
  <si>
    <t>Підвисоцька Людмила Ярославівна</t>
  </si>
  <si>
    <t>Антоненко Акім Віталійович</t>
  </si>
  <si>
    <t>ВФЧ/ШВ/У/1963</t>
  </si>
  <si>
    <t>Вепшин Олександр Сергійович</t>
  </si>
  <si>
    <t>ВФЧ/ШВ/У/1964</t>
  </si>
  <si>
    <t>Воробей Анна Тарасівна</t>
  </si>
  <si>
    <t>ВФЧ/ШВ/У/1965</t>
  </si>
  <si>
    <t>Герасименко Поліна Євгенівна</t>
  </si>
  <si>
    <t>ВФЧ/ШВ/У/1966</t>
  </si>
  <si>
    <t>Гузь Назарій Віталійович</t>
  </si>
  <si>
    <t>ВФЧ/ШВ/У/1967</t>
  </si>
  <si>
    <t>Гуленко Андрій Юрійович</t>
  </si>
  <si>
    <t>ВФЧ/ШВ/У/1968</t>
  </si>
  <si>
    <t>Жидок Вікторія Леонідівна</t>
  </si>
  <si>
    <t>ВФЧ/ШВ/У/1969</t>
  </si>
  <si>
    <t>Сюрха-Громов Платон Валерійович</t>
  </si>
  <si>
    <t>ВФЧ/ШВ/У/1970</t>
  </si>
  <si>
    <t>Шевчук Марія Юріївна</t>
  </si>
  <si>
    <t>ВФЧ/ШВ/У/1971</t>
  </si>
  <si>
    <t>Шуляк Андрій Григорович</t>
  </si>
  <si>
    <t>ВФЧ/ШВ/У/1972</t>
  </si>
  <si>
    <t>ліцей номер 49</t>
  </si>
  <si>
    <t xml:space="preserve">Рудакова Марина Валентинівна </t>
  </si>
  <si>
    <t>Марія Олексіівна Власюк</t>
  </si>
  <si>
    <t>ВФЧ/ШВ/У/1973</t>
  </si>
  <si>
    <t>Єлизавета Євгенівна Зубенко</t>
  </si>
  <si>
    <t>ВФЧ/ШВ/У/1974</t>
  </si>
  <si>
    <t>Дмитро Богданович Криволапов</t>
  </si>
  <si>
    <t>ВФЧ/ШВ/У/1975</t>
  </si>
  <si>
    <t>Софія Володимирівна Настюк</t>
  </si>
  <si>
    <t>ВФЧ/ШВ/У/1976</t>
  </si>
  <si>
    <t>Вишнівський ліцей "ІДЕАЛ" Вишневої міської ради Бучанського району Київської області</t>
  </si>
  <si>
    <t>Сапальов Віктор Вікторович</t>
  </si>
  <si>
    <t>Потапенко Андрій Віталійович</t>
  </si>
  <si>
    <t>ВФЧ/ШВ/У/1977</t>
  </si>
  <si>
    <t>Швороб Владислава Андріївна</t>
  </si>
  <si>
    <t>ВФЧ/ШВ/У/1978</t>
  </si>
  <si>
    <t>Мартиненко Андрій Олександрович</t>
  </si>
  <si>
    <t>ВФЧ/ШВ/У/1979</t>
  </si>
  <si>
    <t>Курочка Ігор Анатолійович</t>
  </si>
  <si>
    <t>ВФЧ/ШВ/У/1980</t>
  </si>
  <si>
    <t>Строганова Поліна Валеріївна</t>
  </si>
  <si>
    <t>ВФЧ/ШВ/У/1981</t>
  </si>
  <si>
    <t>Войнаровський Іван Павлович</t>
  </si>
  <si>
    <t>ВФЧ/ШВ/У/1982</t>
  </si>
  <si>
    <t>Лисиця Дмитро Андрійович</t>
  </si>
  <si>
    <t>ВФЧ/ШВ/У/1983</t>
  </si>
  <si>
    <t>Ліцей "Наукова зміна"</t>
  </si>
  <si>
    <t>Седляр Михайло Олегович</t>
  </si>
  <si>
    <t>Старовойтова Анна Сергіївна</t>
  </si>
  <si>
    <t>ВФЧ/ШВ/У/1984</t>
  </si>
  <si>
    <t>Говорун Анна Андріївна</t>
  </si>
  <si>
    <t>ВФЧ/ШВ/У/1985</t>
  </si>
  <si>
    <t>Грицак Марія Михайлівна</t>
  </si>
  <si>
    <t>ВФЧ/ШВ/У/1986</t>
  </si>
  <si>
    <t>Греськів Григорій Іванович</t>
  </si>
  <si>
    <t>ВФЧ/ШВ/У/1987</t>
  </si>
  <si>
    <t>Технічний ліцей Шевченківського району</t>
  </si>
  <si>
    <t>Сулима Ілона Олесівна</t>
  </si>
  <si>
    <t>Григоренко Христина Володимирівна</t>
  </si>
  <si>
    <t>ВФЧ/ШВ/У/1988</t>
  </si>
  <si>
    <t>Катренюк Назарій Вікторович</t>
  </si>
  <si>
    <t>ВФЧ/ШВ/У/1989</t>
  </si>
  <si>
    <t>Богініч Олександр Ігорович</t>
  </si>
  <si>
    <t>ВФЧ/ШВ/У/1990</t>
  </si>
  <si>
    <t>Хохлов Даніл Русланович</t>
  </si>
  <si>
    <t>ВФЧ/ШВ/У/1991</t>
  </si>
  <si>
    <t>Ялижко Яніслав Іванович</t>
  </si>
  <si>
    <t>ВФЧ/ШВ/У/1992</t>
  </si>
  <si>
    <t>Руденко Ярослав Сергійович</t>
  </si>
  <si>
    <t>ВФЧ/ШВ/У/1993</t>
  </si>
  <si>
    <t>Ракітін Михайло Олексійович</t>
  </si>
  <si>
    <t>ВФЧ/ШВ/У/1994</t>
  </si>
  <si>
    <t>Стогній Кіріл Вікторович</t>
  </si>
  <si>
    <t>ВФЧ/ШВ/У/1995</t>
  </si>
  <si>
    <t>Лисенко Орина Вячеславівна</t>
  </si>
  <si>
    <t>ВФЧ/ШВ/У/1996</t>
  </si>
  <si>
    <t>Якубовська Ганна Олександрівна</t>
  </si>
  <si>
    <t>ВФЧ/ШВ/У/1997</t>
  </si>
  <si>
    <t>Піскова Марія Сергіївна</t>
  </si>
  <si>
    <t>ВФЧ/ШВ/У/1998</t>
  </si>
  <si>
    <t>АСЕ school</t>
  </si>
  <si>
    <t>Тарковська Інна Павлівна</t>
  </si>
  <si>
    <t>Геращенко Богдан Олексійович</t>
  </si>
  <si>
    <t>ВФЧ/ШВ/У/1999</t>
  </si>
  <si>
    <t>Заклад загальної середньої освіти №135 м. Києва</t>
  </si>
  <si>
    <t>Тонковид Марина Аркадіївна</t>
  </si>
  <si>
    <t>Батрак Анна</t>
  </si>
  <si>
    <t>ВФЧ/ШВ/У/2000</t>
  </si>
  <si>
    <t>Гельфер Ілля</t>
  </si>
  <si>
    <t>ВФЧ/ШВ/У/2001</t>
  </si>
  <si>
    <t>Демідюк Давід</t>
  </si>
  <si>
    <t>ВФЧ/ШВ/У/2002</t>
  </si>
  <si>
    <t>Коткова Анна</t>
  </si>
  <si>
    <t>ВФЧ/ШВ/У/2003</t>
  </si>
  <si>
    <t>Коцюбняк Анна</t>
  </si>
  <si>
    <t>ВФЧ/ШВ/У/2004</t>
  </si>
  <si>
    <t>Курганська Раїса</t>
  </si>
  <si>
    <t>ВФЧ/ШВ/У/2005</t>
  </si>
  <si>
    <t>Лунін Арістарх</t>
  </si>
  <si>
    <t>ВФЧ/ШВ/У/2006</t>
  </si>
  <si>
    <t>Носова Віра</t>
  </si>
  <si>
    <t>ВФЧ/ШВ/У/2007</t>
  </si>
  <si>
    <t>Палій Марія</t>
  </si>
  <si>
    <t>ВФЧ/ШВ/У/2008</t>
  </si>
  <si>
    <t>Попов Гліб</t>
  </si>
  <si>
    <t>ВФЧ/ШВ/У/2009</t>
  </si>
  <si>
    <t>Сергєєв Владислав</t>
  </si>
  <si>
    <t>ВФЧ/ШВ/У/2010</t>
  </si>
  <si>
    <t>Тягульська Марія</t>
  </si>
  <si>
    <t>ВФЧ/ШВ/У/2011</t>
  </si>
  <si>
    <t>Гаріна Анастасія</t>
  </si>
  <si>
    <t>ВФЧ/ШВ/У/2012</t>
  </si>
  <si>
    <t>Школа І -ІІІ ступенів №25 м. Києва</t>
  </si>
  <si>
    <t>Федоренко Юлія Леонідівна</t>
  </si>
  <si>
    <t>Аносова Дар'я Юріївна</t>
  </si>
  <si>
    <t>ВФЧ/ШВ/У/2013</t>
  </si>
  <si>
    <t>Аносова Марія Юріївна</t>
  </si>
  <si>
    <t>ВФЧ/ШВ/У/2014</t>
  </si>
  <si>
    <t>Бойченко Мирослава Юріївна</t>
  </si>
  <si>
    <t>ВФЧ/ШВ/У/2015</t>
  </si>
  <si>
    <t>Бондар Андрій Аурелович</t>
  </si>
  <si>
    <t>ВФЧ/ШВ/У/2016</t>
  </si>
  <si>
    <t>Бублик Марія Пилипівна</t>
  </si>
  <si>
    <t>ВФЧ/ШВ/У/2017</t>
  </si>
  <si>
    <t>Ваніфатов Федір Олексійович</t>
  </si>
  <si>
    <t>ВФЧ/ШВ/У/2018</t>
  </si>
  <si>
    <t>Губенкова Єлизавета Федорівна</t>
  </si>
  <si>
    <t>ВФЧ/ШВ/У/2019</t>
  </si>
  <si>
    <t>Донченко Поліна Дмитрівна</t>
  </si>
  <si>
    <t>ВФЧ/ШВ/У/2020</t>
  </si>
  <si>
    <t>Жорняк Ярослав Дмитрович</t>
  </si>
  <si>
    <t>ВФЧ/ШВ/У/2021</t>
  </si>
  <si>
    <t>Матушинський Назарій Віталійович</t>
  </si>
  <si>
    <t>ВФЧ/ШВ/У/2022</t>
  </si>
  <si>
    <t>Назарова Латіфа Азізбеківна</t>
  </si>
  <si>
    <t>ВФЧ/ШВ/У/2023</t>
  </si>
  <si>
    <t>Пахаренко Едуард Глібович</t>
  </si>
  <si>
    <t>ВФЧ/ШВ/У/2024</t>
  </si>
  <si>
    <t>Сидоренко Микола Олександрович</t>
  </si>
  <si>
    <t>ВФЧ/ШВ/У/2025</t>
  </si>
  <si>
    <t>Чегринцева Єва Олексіївна</t>
  </si>
  <si>
    <t>ВФЧ/ШВ/У/2026</t>
  </si>
  <si>
    <t>Черства Олександра Максимівна</t>
  </si>
  <si>
    <t>ВФЧ/ШВ/У/2027</t>
  </si>
  <si>
    <t>Ческідова Вікторія Віталіївна</t>
  </si>
  <si>
    <t>ВФЧ/ШВ/У/2028</t>
  </si>
  <si>
    <t>Чорна Поліна Андріївна</t>
  </si>
  <si>
    <t>ВФЧ/ШВ/У/2029</t>
  </si>
  <si>
    <t>Шпаков Олександр Андрійович</t>
  </si>
  <si>
    <t>ВФЧ/ШВ/У/2030</t>
  </si>
  <si>
    <t>Комунальний заклад Київської обласної ради Переяславський ліцей "Патріот"</t>
  </si>
  <si>
    <t>Федоренко Юрій Андрійович</t>
  </si>
  <si>
    <t>Аврамич Віталій Вікторович</t>
  </si>
  <si>
    <t>ВФЧ/ШВ/У/2031</t>
  </si>
  <si>
    <t>Ліцей № 256 "СМАРТ"</t>
  </si>
  <si>
    <t>Фокіна Олена Олегівна</t>
  </si>
  <si>
    <t>Свєтіков Максим Ігорович</t>
  </si>
  <si>
    <t>ВФЧ/ШВ/У/2032</t>
  </si>
  <si>
    <t>Стасюк Софія Андріїївна</t>
  </si>
  <si>
    <t>ВФЧ/ШВ/У/2033</t>
  </si>
  <si>
    <t>Супруненко Володимир Олексійович</t>
  </si>
  <si>
    <t>ВФЧ/ШВ/У/2034</t>
  </si>
  <si>
    <t>Ліцей "Універсум" Шевченківського району міста Києва</t>
  </si>
  <si>
    <t>Хозяшев Михайло Олександрович</t>
  </si>
  <si>
    <t>Гриненько Тарас Володимирович</t>
  </si>
  <si>
    <t>ВФЧ/ШВ/У/2035</t>
  </si>
  <si>
    <t>Дерій Вікторія Сергіївна</t>
  </si>
  <si>
    <t>ВФЧ/ШВ/У/2036</t>
  </si>
  <si>
    <t>Паршина Валерія Олександрівна</t>
  </si>
  <si>
    <t>ВФЧ/ШВ/У/2037</t>
  </si>
  <si>
    <t>Свінціцький Володимир Іванович</t>
  </si>
  <si>
    <t>ВФЧ/ШВ/У/2038</t>
  </si>
  <si>
    <t>Лаврик Захар Павлович</t>
  </si>
  <si>
    <t>ВФЧ/ШВ/У/2039</t>
  </si>
  <si>
    <t>Яковлєва Лариса Валеріївна</t>
  </si>
  <si>
    <t>ВФЧ/ШВ/У/2040</t>
  </si>
  <si>
    <t>Костовецька Софія Павлівна</t>
  </si>
  <si>
    <t>ВФЧ/ШВ/У/2041</t>
  </si>
  <si>
    <t>Чепурна Вікторія Олександрівна</t>
  </si>
  <si>
    <t>ВФЧ/ШВ/У/2042</t>
  </si>
  <si>
    <t>Фесик Максим Вікторович</t>
  </si>
  <si>
    <t>ВФЧ/ШВ/У/2043</t>
  </si>
  <si>
    <t>Хібовська Вікторія Михайлівна</t>
  </si>
  <si>
    <t>ВФЧ/ШВ/У/2044</t>
  </si>
  <si>
    <t>Шаповал Віктор Костянтинович</t>
  </si>
  <si>
    <t>ВФЧ/ШВ/У/2045</t>
  </si>
  <si>
    <t>Бобилєва Олена Володимирівна</t>
  </si>
  <si>
    <t>ВФЧ/ШВ/У/2046</t>
  </si>
  <si>
    <t>Бобилєва Юлія Володимирівна</t>
  </si>
  <si>
    <t>ВФЧ/ШВ/У/2047</t>
  </si>
  <si>
    <t>Касьяненко Владислава Вадимівна</t>
  </si>
  <si>
    <t>ВФЧ/ШВ/У/2048</t>
  </si>
  <si>
    <t>Кулаков Олексій Дмитрович</t>
  </si>
  <si>
    <t>ВФЧ/ШВ/У/2049</t>
  </si>
  <si>
    <t>Пометун Лідія Юріївна</t>
  </si>
  <si>
    <t>ВФЧ/ШВ/У/2050</t>
  </si>
  <si>
    <t>Ган Аліна Анатоліївна</t>
  </si>
  <si>
    <t>ВФЧ/ШВ/У/2051</t>
  </si>
  <si>
    <t>Величанський Іван Михайлович</t>
  </si>
  <si>
    <t>ВФЧ/ШВ/У/2052</t>
  </si>
  <si>
    <t>Шульга Артур Андрійович</t>
  </si>
  <si>
    <t>ВФЧ/ШВ/У/2053</t>
  </si>
  <si>
    <t>Грушкін Вадим Віталійович</t>
  </si>
  <si>
    <t>ВФЧ/ШВ/У/2054</t>
  </si>
  <si>
    <t>Жук Федір Олексійович</t>
  </si>
  <si>
    <t>ВФЧ/ШВ/У/2055</t>
  </si>
  <si>
    <t>Дорощук Євгенія Олексіївна</t>
  </si>
  <si>
    <t>ВФЧ/ШВ/У/2056</t>
  </si>
  <si>
    <t>Ніколаєнко Марія Сергіївна</t>
  </si>
  <si>
    <t>ВФЧ/ШВ/У/2057</t>
  </si>
  <si>
    <t>Папенко Єгор Сергійович</t>
  </si>
  <si>
    <t>ВФЧ/ШВ/У/2058</t>
  </si>
  <si>
    <t>Лущик Анна Сергіївна</t>
  </si>
  <si>
    <t>ВФЧ/ШВ/У/2059</t>
  </si>
  <si>
    <t>Рождественський Максим Вікторович</t>
  </si>
  <si>
    <t>ВФЧ/ШВ/У/2060</t>
  </si>
  <si>
    <t>Ставицька Софія Максимівна</t>
  </si>
  <si>
    <t>ВФЧ/ШВ/У/2061</t>
  </si>
  <si>
    <t>Ємець Нікіта Андрійович</t>
  </si>
  <si>
    <t>ВФЧ/ШВ/У/2062</t>
  </si>
  <si>
    <t>Коцюбинський ліцей №1</t>
  </si>
  <si>
    <t>Шевчук Наталія Михайлівна</t>
  </si>
  <si>
    <t xml:space="preserve">Остапенко Єлизавета Максимівна </t>
  </si>
  <si>
    <t>ВФЧ/ШВ/У/2063</t>
  </si>
  <si>
    <t>Пантелеймонова Катерина Ігорівна</t>
  </si>
  <si>
    <t>ВФЧ/ШВ/У/2064</t>
  </si>
  <si>
    <t>Сухомлін Олена Володимирівна</t>
  </si>
  <si>
    <t>ВФЧ/ШВ/У/2065</t>
  </si>
  <si>
    <t xml:space="preserve">
Семченкова Еріка Олександрівна</t>
  </si>
  <si>
    <t>ВФЧ/ШВ/У/2066</t>
  </si>
  <si>
    <t xml:space="preserve">Чумак Анна Романівна </t>
  </si>
  <si>
    <t>ВФЧ/ШВ/У/2067</t>
  </si>
  <si>
    <t>П'ятих Маргарита Андріївна</t>
  </si>
  <si>
    <t>ВФЧ/ШВ/У/2068</t>
  </si>
  <si>
    <t xml:space="preserve">Байдик Дарʼя Олександрівна </t>
  </si>
  <si>
    <t>ВФЧ/ШВ/У/2069</t>
  </si>
  <si>
    <t>Мельник Марк Олександрович</t>
  </si>
  <si>
    <t>ВФЧ/ШВ/У/2070</t>
  </si>
  <si>
    <t>Ліцей № 172 "Нивки" м.Києва</t>
  </si>
  <si>
    <t>Ярош Алла Олександрівна</t>
  </si>
  <si>
    <t>Толстіков Богдан Олегович</t>
  </si>
  <si>
    <t>ВФЧ/ШВ/У/2071</t>
  </si>
  <si>
    <t>Король Владислава Сергіївна</t>
  </si>
  <si>
    <t>ВФЧ/ШВ/У/2072</t>
  </si>
  <si>
    <t>Науменко Аріна Сергіївна</t>
  </si>
  <si>
    <t>ВФЧ/ШВ/У/2073</t>
  </si>
  <si>
    <t>Ткаленко Олександра Олександрівна</t>
  </si>
  <si>
    <t>ВФЧ/ШВ/У/2074</t>
  </si>
  <si>
    <t>Марковська Дар'я Дмитрівна</t>
  </si>
  <si>
    <t>ВФЧ/ШВ/У/2075</t>
  </si>
  <si>
    <t>Добродомова Олександра Родіонівна</t>
  </si>
  <si>
    <t>ВФЧ/ШВ/У/2076</t>
  </si>
  <si>
    <t>Попова Євгенія Олександрівна</t>
  </si>
  <si>
    <t>ВФЧ/ШВ/У/2077</t>
  </si>
  <si>
    <t>Костромікіна Софія Сергіївна</t>
  </si>
  <si>
    <t>ВФЧ/ШВ/У/2078</t>
  </si>
  <si>
    <t>Дзюбка Єлизавета Олексіївна</t>
  </si>
  <si>
    <t>ВФЧ/ШВ/У/2079</t>
  </si>
  <si>
    <t>Краснобай Максим Петрович</t>
  </si>
  <si>
    <t>ВФЧ/ШВ/У/2080</t>
  </si>
  <si>
    <t>Гуменюк Єлизавета Сергіївна</t>
  </si>
  <si>
    <t>ВФЧ/ШВ/У/2081</t>
  </si>
  <si>
    <t>Фурсівський ліцей-гімназія</t>
  </si>
  <si>
    <t>Ярошенко Олена Миколаївна</t>
  </si>
  <si>
    <t>Самусенко Аделіна Олексіївна</t>
  </si>
  <si>
    <t>ВФЧ/ШВ/У/2082</t>
  </si>
  <si>
    <t>Григорук Маргарита Ігорівна</t>
  </si>
  <si>
    <t>ВФЧ/ШВ/У/2083</t>
  </si>
  <si>
    <t>Линник Анастасія Анатоліївна</t>
  </si>
  <si>
    <t>ВФЧ/ШВ/У/2084</t>
  </si>
  <si>
    <t>Топіха Владислав</t>
  </si>
  <si>
    <t>ВФЧ/ШВ/У/2085</t>
  </si>
  <si>
    <t>Шевченко Олег Сергійович</t>
  </si>
  <si>
    <t>ВФЧ/ШВ/У/2086</t>
  </si>
  <si>
    <t>Стеценко Анастасія Василівна</t>
  </si>
  <si>
    <t>ВФЧ/ШВ/У/2087</t>
  </si>
  <si>
    <t>Зазірна Дарія Віталіївна</t>
  </si>
  <si>
    <t>ВФЧ/ШВ/У/2088</t>
  </si>
  <si>
    <t>Щербатюк Катерина Богданівна</t>
  </si>
  <si>
    <t>ВФЧ/ШВ/У/2089</t>
  </si>
  <si>
    <t>Марченко Дмитро Максимович</t>
  </si>
  <si>
    <t>ВФЧ/ШВ/У/2090</t>
  </si>
  <si>
    <t>Дурман Олександр Андрійович</t>
  </si>
  <si>
    <t>ВФЧ/ШВ/У/2091</t>
  </si>
  <si>
    <t>Зінченко Дмитро Олександрович</t>
  </si>
  <si>
    <t>ВФЧ/ШВ/У/2092</t>
  </si>
  <si>
    <t>Степанкевич Анастасія Вадимівна</t>
  </si>
  <si>
    <t>ВФЧ/ШВ/У/2093</t>
  </si>
  <si>
    <t>Приймиак Ірина Олександрівна</t>
  </si>
  <si>
    <t>ВФЧ/ШВ/У/2094</t>
  </si>
  <si>
    <t>Качинська Вероніка Віталіївна</t>
  </si>
  <si>
    <t>ВФЧ/ШВ/У/2095</t>
  </si>
  <si>
    <t>Смолінський ліцей № 2 Смолінської селищної ради Кіровоградської області</t>
  </si>
  <si>
    <t>Балан Юлія Миколаївна</t>
  </si>
  <si>
    <t>Гузак Ірина Миколаївна</t>
  </si>
  <si>
    <t>ВФЧ/ШВ/У/2096</t>
  </si>
  <si>
    <t>Даценко Софія Василівна</t>
  </si>
  <si>
    <t>ВФЧ/ШВ/У/2097</t>
  </si>
  <si>
    <t>Дідорчук Ксенія Олександрівна</t>
  </si>
  <si>
    <t>ВФЧ/ШВ/У/2098</t>
  </si>
  <si>
    <t>Завертайло Єгор Олегович</t>
  </si>
  <si>
    <t>ВФЧ/ШВ/У/2099</t>
  </si>
  <si>
    <t>Ковальчук Дарина Олександрівна</t>
  </si>
  <si>
    <t>ВФЧ/ШВ/У/2100</t>
  </si>
  <si>
    <t>Король Софія Ігорівна</t>
  </si>
  <si>
    <t>ВФЧ/ШВ/У/2101</t>
  </si>
  <si>
    <t>Лановенко Максим Максимович</t>
  </si>
  <si>
    <t>ВФЧ/ШВ/У/2102</t>
  </si>
  <si>
    <t>Метьолкіна Софія Дмитрівна</t>
  </si>
  <si>
    <t>ВФЧ/ШВ/У/2103</t>
  </si>
  <si>
    <t>Пампущенко Даніїл Олегович</t>
  </si>
  <si>
    <t>ВФЧ/ШВ/У/2104</t>
  </si>
  <si>
    <t>Рибалко Олег Віталійович</t>
  </si>
  <si>
    <t>ВФЧ/ШВ/У/2105</t>
  </si>
  <si>
    <t>Холопова Анна Сергіївна</t>
  </si>
  <si>
    <t>ВФЧ/ШВ/У/2106</t>
  </si>
  <si>
    <t>Царенко Артем Миколайович</t>
  </si>
  <si>
    <t>ВФЧ/ШВ/У/2107</t>
  </si>
  <si>
    <t>Юхименко Аліна Сергіївна</t>
  </si>
  <si>
    <t>ВФЧ/ШВ/У/2108</t>
  </si>
  <si>
    <t>Голованівський ліцей ім.Т.Г.Шевченка Голованівської селищної ради</t>
  </si>
  <si>
    <t>Безпалько Олена Володимирівна</t>
  </si>
  <si>
    <t>Д'яченко Олександр вячеславович</t>
  </si>
  <si>
    <t>ВФЧ/ШВ/У/2109</t>
  </si>
  <si>
    <t>Сирота Дар'я Олегівна</t>
  </si>
  <si>
    <t>ВФЧ/ШВ/У/2110</t>
  </si>
  <si>
    <t>Куляєва Дарина Сергіївна</t>
  </si>
  <si>
    <t>ВФЧ/ШВ/У/2111</t>
  </si>
  <si>
    <t>Іванков Олександр</t>
  </si>
  <si>
    <t>ВФЧ/ШВ/У/2112</t>
  </si>
  <si>
    <t>Цебермановська Анастасія Олександрівна</t>
  </si>
  <si>
    <t>ВФЧ/ШВ/У/2113</t>
  </si>
  <si>
    <t>Карбовська Юлія Сергіївна</t>
  </si>
  <si>
    <t>ВФЧ/ШВ/У/2114</t>
  </si>
  <si>
    <t>Маковей Максим Сергійович</t>
  </si>
  <si>
    <t>ВФЧ/ШВ/У/2115</t>
  </si>
  <si>
    <t>Данішенко Владислав Богданович</t>
  </si>
  <si>
    <t>ВФЧ/ШВ/У/2116</t>
  </si>
  <si>
    <t>Крилова Даша</t>
  </si>
  <si>
    <t>ВФЧ/ШВ/У/2117</t>
  </si>
  <si>
    <t>Григораш Аліна Олександрівна</t>
  </si>
  <si>
    <t>ВФЧ/ШВ/У/2118</t>
  </si>
  <si>
    <t>Войцеховський Владислав Олександрович</t>
  </si>
  <si>
    <t>ВФЧ/ШВ/У/2119</t>
  </si>
  <si>
    <t>Комаха Ганна Володимирівна</t>
  </si>
  <si>
    <t>ВФЧ/ШВ/У/2120</t>
  </si>
  <si>
    <t>Масна Вероніка</t>
  </si>
  <si>
    <t>ВФЧ/ШВ/У/2121</t>
  </si>
  <si>
    <t>Швець Дарія Олександрівна</t>
  </si>
  <si>
    <t>ВФЧ/ШВ/У/2122</t>
  </si>
  <si>
    <t>Шварц Анастасія В'ячеславівна</t>
  </si>
  <si>
    <t>ВФЧ/ШВ/У/2123</t>
  </si>
  <si>
    <t>Левковська Єлизавета Іванівна</t>
  </si>
  <si>
    <t>ВФЧ/ШВ/У/2124</t>
  </si>
  <si>
    <t>Тарко Іван Васильович</t>
  </si>
  <si>
    <t>ВФЧ/ШВ/У/2125</t>
  </si>
  <si>
    <t>Хащеватська Анна Михайлівна</t>
  </si>
  <si>
    <t>ВФЧ/ШВ/У/2126</t>
  </si>
  <si>
    <t>Ліцей "Крила України" Знам'янської міської ради Кіровоградської області</t>
  </si>
  <si>
    <t>Биков Ілля Васильович</t>
  </si>
  <si>
    <t>Арсентьєв Олександр</t>
  </si>
  <si>
    <t>ВФЧ/ШВ/У/2127</t>
  </si>
  <si>
    <t>Артемова Софія</t>
  </si>
  <si>
    <t>ВФЧ/ШВ/У/2128</t>
  </si>
  <si>
    <t>Бакуліна Яна</t>
  </si>
  <si>
    <t>ВФЧ/ШВ/У/2129</t>
  </si>
  <si>
    <t>Брагар Інесса</t>
  </si>
  <si>
    <t>ВФЧ/ШВ/У/2130</t>
  </si>
  <si>
    <t>Бурульова Єлизавета</t>
  </si>
  <si>
    <t>ВФЧ/ШВ/У/2131</t>
  </si>
  <si>
    <t>Діденко Максим</t>
  </si>
  <si>
    <t>ВФЧ/ШВ/У/2132</t>
  </si>
  <si>
    <t>Дубровський Владислав</t>
  </si>
  <si>
    <t>ВФЧ/ШВ/У/2133</t>
  </si>
  <si>
    <t>Дьяченко Софія</t>
  </si>
  <si>
    <t>ВФЧ/ШВ/У/2134</t>
  </si>
  <si>
    <t>Зажурило Марія</t>
  </si>
  <si>
    <t>ВФЧ/ШВ/У/2135</t>
  </si>
  <si>
    <t>Кадацька Катерина</t>
  </si>
  <si>
    <t>ВФЧ/ШВ/У/2136</t>
  </si>
  <si>
    <t>Кікоть Максим</t>
  </si>
  <si>
    <t>ВФЧ/ШВ/У/2137</t>
  </si>
  <si>
    <t>Крініцина Анастасія</t>
  </si>
  <si>
    <t>ВФЧ/ШВ/У/2138</t>
  </si>
  <si>
    <t>Курікова Влада</t>
  </si>
  <si>
    <t>ВФЧ/ШВ/У/2139</t>
  </si>
  <si>
    <t>Курятенко Єгор</t>
  </si>
  <si>
    <t>ВФЧ/ШВ/У/2140</t>
  </si>
  <si>
    <t>Лимаренко Володимир</t>
  </si>
  <si>
    <t>ВФЧ/ШВ/У/2141</t>
  </si>
  <si>
    <t>Луценко Максим</t>
  </si>
  <si>
    <t>ВФЧ/ШВ/У/2142</t>
  </si>
  <si>
    <t>Мазурін Артем</t>
  </si>
  <si>
    <t>ВФЧ/ШВ/У/2143</t>
  </si>
  <si>
    <t>Мисник Єлизавета</t>
  </si>
  <si>
    <t>ВФЧ/ШВ/У/2144</t>
  </si>
  <si>
    <t>Мустафаєва Рената</t>
  </si>
  <si>
    <t>ВФЧ/ШВ/У/2145</t>
  </si>
  <si>
    <t>Олексенко Андрій</t>
  </si>
  <si>
    <t>ВФЧ/ШВ/У/2146</t>
  </si>
  <si>
    <t>Олійник Софія</t>
  </si>
  <si>
    <t>ВФЧ/ШВ/У/2147</t>
  </si>
  <si>
    <t>Полежай Ілля</t>
  </si>
  <si>
    <t>ВФЧ/ШВ/У/2148</t>
  </si>
  <si>
    <t>Пономар Артем</t>
  </si>
  <si>
    <t>ВФЧ/ШВ/У/2149</t>
  </si>
  <si>
    <t>Русін Владислав</t>
  </si>
  <si>
    <t>ВФЧ/ШВ/У/2150</t>
  </si>
  <si>
    <t>Семенова Марія</t>
  </si>
  <si>
    <t>ВФЧ/ШВ/У/2151</t>
  </si>
  <si>
    <t>Сенюк  Ярослав</t>
  </si>
  <si>
    <t>ВФЧ/ШВ/У/2152</t>
  </si>
  <si>
    <t>Ступнікова Дар’я</t>
  </si>
  <si>
    <t>ВФЧ/ШВ/У/2153</t>
  </si>
  <si>
    <t>Ткаченко Данило</t>
  </si>
  <si>
    <t>ВФЧ/ШВ/У/2154</t>
  </si>
  <si>
    <t>Хнусян Самвел</t>
  </si>
  <si>
    <t>ВФЧ/ШВ/У/2155</t>
  </si>
  <si>
    <t>Шарафудінов Дмитро</t>
  </si>
  <si>
    <t>ВФЧ/ШВ/У/2156</t>
  </si>
  <si>
    <t>Шуліка Михайло</t>
  </si>
  <si>
    <t>ВФЧ/ШВ/У/2157</t>
  </si>
  <si>
    <t>Яровий Данило</t>
  </si>
  <si>
    <t>ВФЧ/ШВ/У/2158</t>
  </si>
  <si>
    <t>Гуманітарний ліцей Олександрійської міської ради Кіровоградської області</t>
  </si>
  <si>
    <t>Дериземля Тетяна Олександрівна</t>
  </si>
  <si>
    <t>Бартанак Богдан Андрійович</t>
  </si>
  <si>
    <t>ВФЧ/ШВ/У/2159</t>
  </si>
  <si>
    <t>Ванюшина Міла Володимирівна</t>
  </si>
  <si>
    <t>ВФЧ/ШВ/У/2160</t>
  </si>
  <si>
    <t>Возіян Аміна Олександрівна</t>
  </si>
  <si>
    <t>ВФЧ/ШВ/У/2161</t>
  </si>
  <si>
    <t>Воробченко Ксенія Миколаївна</t>
  </si>
  <si>
    <t>ВФЧ/ШВ/У/2162</t>
  </si>
  <si>
    <t>Ворона Валерія Антонівна</t>
  </si>
  <si>
    <t>ВФЧ/ШВ/У/2163</t>
  </si>
  <si>
    <t>Каплунова Сніжана Андріївна</t>
  </si>
  <si>
    <t>ВФЧ/ШВ/У/2164</t>
  </si>
  <si>
    <t>Ковалюк Лев Дмитрович</t>
  </si>
  <si>
    <t>ВФЧ/ШВ/У/2165</t>
  </si>
  <si>
    <t>Колісник Владислав Анатолійович</t>
  </si>
  <si>
    <t>ВФЧ/ШВ/У/2166</t>
  </si>
  <si>
    <t>Куриленко Олександра Євгеніївна</t>
  </si>
  <si>
    <t>ВФЧ/ШВ/У/2167</t>
  </si>
  <si>
    <t>Ларіонова Ольга Олександрівна</t>
  </si>
  <si>
    <t>ВФЧ/ШВ/У/2168</t>
  </si>
  <si>
    <t>Литвиненко Семен Андрійович</t>
  </si>
  <si>
    <t>ВФЧ/ШВ/У/2169</t>
  </si>
  <si>
    <t>Мельник Анастасія Олександрівна</t>
  </si>
  <si>
    <t>ВФЧ/ШВ/У/2170</t>
  </si>
  <si>
    <t>Нечипоренко Єгор Андрійович</t>
  </si>
  <si>
    <t>ВФЧ/ШВ/У/2171</t>
  </si>
  <si>
    <t>Сергеєва Дар'я Георгіївна</t>
  </si>
  <si>
    <t>ВФЧ/ШВ/У/2172</t>
  </si>
  <si>
    <t>Совіщенкова Ксенія Юріївна</t>
  </si>
  <si>
    <t>ВФЧ/ШВ/У/2173</t>
  </si>
  <si>
    <t>Харченко Іван Олександрович</t>
  </si>
  <si>
    <t>ВФЧ/ШВ/У/2174</t>
  </si>
  <si>
    <t>Чечель Михайло Артемович</t>
  </si>
  <si>
    <t>ВФЧ/ШВ/У/2175</t>
  </si>
  <si>
    <t>Абільхаірова Мирослава Євгенівна</t>
  </si>
  <si>
    <t>ВФЧ/ШВ/У/2176</t>
  </si>
  <si>
    <t>Беховський Євгеній Андрійович</t>
  </si>
  <si>
    <t>ВФЧ/ШВ/У/2177</t>
  </si>
  <si>
    <t>Волков Савелій Михайлович</t>
  </si>
  <si>
    <t>ВФЧ/ШВ/У/2178</t>
  </si>
  <si>
    <t>Гарагуля Анна Вадимівна</t>
  </si>
  <si>
    <t>ВФЧ/ШВ/У/2179</t>
  </si>
  <si>
    <t>Долина Артем Олександрович</t>
  </si>
  <si>
    <t>ВФЧ/ШВ/У/2180</t>
  </si>
  <si>
    <t>Іванілова Вікторія Святославівна</t>
  </si>
  <si>
    <t>ВФЧ/ШВ/У/2181</t>
  </si>
  <si>
    <t>Казаков Владислав Русланович</t>
  </si>
  <si>
    <t>ВФЧ/ШВ/У/2182</t>
  </si>
  <si>
    <t>Касап Єлизавета Андріївна</t>
  </si>
  <si>
    <t>ВФЧ/ШВ/У/2183</t>
  </si>
  <si>
    <t>Кіло Олександра Русланівна</t>
  </si>
  <si>
    <t>ВФЧ/ШВ/У/2184</t>
  </si>
  <si>
    <t>Лига Євгенія Олександрівна</t>
  </si>
  <si>
    <t>ВФЧ/ШВ/У/2185</t>
  </si>
  <si>
    <t>Настусенко Валерія Андріївна</t>
  </si>
  <si>
    <t>ВФЧ/ШВ/У/2186</t>
  </si>
  <si>
    <t>Палярус Валерія Олексіївна</t>
  </si>
  <si>
    <t>ВФЧ/ШВ/У/2187</t>
  </si>
  <si>
    <t>Попов Захар Іванович</t>
  </si>
  <si>
    <t>ВФЧ/ШВ/У/2188</t>
  </si>
  <si>
    <t>Пудло Даріна Максимівна</t>
  </si>
  <si>
    <t>ВФЧ/ШВ/У/2189</t>
  </si>
  <si>
    <t>Рождественський Павло Артемович</t>
  </si>
  <si>
    <t>ВФЧ/ШВ/У/2190</t>
  </si>
  <si>
    <t>Седляр Олександра Сергіївна</t>
  </si>
  <si>
    <t>ВФЧ/ШВ/У/2191</t>
  </si>
  <si>
    <t>Сніжко Равіда Миколаївна</t>
  </si>
  <si>
    <t>ВФЧ/ШВ/У/2192</t>
  </si>
  <si>
    <t>Татаріна Софія Олегівна</t>
  </si>
  <si>
    <t>ВФЧ/ШВ/У/2193</t>
  </si>
  <si>
    <t>Мультипрофільний ліцей Олександрійської міської ради Кіровоградської області</t>
  </si>
  <si>
    <t>Дмитренко Юрій Васильович</t>
  </si>
  <si>
    <t>Ходько Кароліна</t>
  </si>
  <si>
    <t>ВФЧ/ШВ/У/2194</t>
  </si>
  <si>
    <t>Пислар Софія Олександрівна</t>
  </si>
  <si>
    <t>ВФЧ/ШВ/У/2195</t>
  </si>
  <si>
    <t>Ткаченко Каріна Сергіївна</t>
  </si>
  <si>
    <t>ВФЧ/ШВ/У/2196</t>
  </si>
  <si>
    <t>Фісун Дар`я Сергіївна</t>
  </si>
  <si>
    <t>ВФЧ/ШВ/У/2197</t>
  </si>
  <si>
    <t>Вільчак Вікторія Юріївна</t>
  </si>
  <si>
    <t>ВФЧ/ШВ/У/2198</t>
  </si>
  <si>
    <t>Вінніченко Діана Сергіївна</t>
  </si>
  <si>
    <t>ВФЧ/ШВ/У/2199</t>
  </si>
  <si>
    <t>Пшеничний Нікіта Миколайович</t>
  </si>
  <si>
    <t>ВФЧ/ШВ/У/2200</t>
  </si>
  <si>
    <t>Молодченко Юрій Андрійович</t>
  </si>
  <si>
    <t>ВФЧ/ШВ/У/2201</t>
  </si>
  <si>
    <t>Хорольська Віталіна Віталіївна</t>
  </si>
  <si>
    <t>ВФЧ/ШВ/У/2202</t>
  </si>
  <si>
    <t>Бондаренко Ангеліна Романівна</t>
  </si>
  <si>
    <t>ВФЧ/ШВ/У/2203</t>
  </si>
  <si>
    <t>Дьорко Катерина Андріївна</t>
  </si>
  <si>
    <t>ВФЧ/ШВ/У/2204</t>
  </si>
  <si>
    <t>Бойчук Дмитро</t>
  </si>
  <si>
    <t>ВФЧ/ШВ/У/2205</t>
  </si>
  <si>
    <t>Демченко Катерина Олександрівна</t>
  </si>
  <si>
    <t>ВФЧ/ШВ/У/2206</t>
  </si>
  <si>
    <t>Грицієнко Надія Костянтинівна</t>
  </si>
  <si>
    <t>ВФЧ/ШВ/У/2207</t>
  </si>
  <si>
    <t>Аксененко Влад</t>
  </si>
  <si>
    <t>ВФЧ/ШВ/У/2208</t>
  </si>
  <si>
    <t>Ємєлін ВІктор Віталійович</t>
  </si>
  <si>
    <t>ВФЧ/ШВ/У/2209</t>
  </si>
  <si>
    <t>Гладковська Даша</t>
  </si>
  <si>
    <t>ВФЧ/ШВ/У/2210</t>
  </si>
  <si>
    <t>Мальована Олена</t>
  </si>
  <si>
    <t>ВФЧ/ШВ/У/2211</t>
  </si>
  <si>
    <t>КЗ Ліцей " Лідер" Кропивницької міської ради</t>
  </si>
  <si>
    <t>Іванова Ірина Вячеславівна</t>
  </si>
  <si>
    <t>Моторна Єлизавета</t>
  </si>
  <si>
    <t>ВФЧ/ШВ/У/2212</t>
  </si>
  <si>
    <t>Алєксєєнко Іван</t>
  </si>
  <si>
    <t>ВФЧ/ШВ/У/2213</t>
  </si>
  <si>
    <t>Аль Набуш Собхі</t>
  </si>
  <si>
    <t>ВФЧ/ШВ/У/2214</t>
  </si>
  <si>
    <t>Васильчук Катерина</t>
  </si>
  <si>
    <t>ВФЧ/ШВ/У/2215</t>
  </si>
  <si>
    <t>Гайдамаченко Олена</t>
  </si>
  <si>
    <t>ВФЧ/ШВ/У/2216</t>
  </si>
  <si>
    <t>Городова Анастасія</t>
  </si>
  <si>
    <t>ВФЧ/ШВ/У/2217</t>
  </si>
  <si>
    <t>Дубчак Єлизавета</t>
  </si>
  <si>
    <t>ВФЧ/ШВ/У/2218</t>
  </si>
  <si>
    <t>Зайцева Юлія</t>
  </si>
  <si>
    <t>ВФЧ/ШВ/У/2219</t>
  </si>
  <si>
    <t>Заніздра Світлана</t>
  </si>
  <si>
    <t>ВФЧ/ШВ/У/2220</t>
  </si>
  <si>
    <t>Іванець Дар'я</t>
  </si>
  <si>
    <t>ВФЧ/ШВ/У/2221</t>
  </si>
  <si>
    <t>Сліпченко Поліна</t>
  </si>
  <si>
    <t>ВФЧ/ШВ/У/2222</t>
  </si>
  <si>
    <t>Солоп Михайло</t>
  </si>
  <si>
    <t>ВФЧ/ШВ/У/2223</t>
  </si>
  <si>
    <t>Стороженко Анастасія</t>
  </si>
  <si>
    <t>ВФЧ/ШВ/У/2224</t>
  </si>
  <si>
    <t>Тарасенко Аліна</t>
  </si>
  <si>
    <t>ВФЧ/ШВ/У/2225</t>
  </si>
  <si>
    <t>Чумак Єлизавета</t>
  </si>
  <si>
    <t>ВФЧ/ШВ/У/2226</t>
  </si>
  <si>
    <t>Колєснікова Софія</t>
  </si>
  <si>
    <t>ВФЧ/ШВ/У/2227</t>
  </si>
  <si>
    <t>Комунальний заклад "Ліцей "Вікторія-П" Кропивницької міської ради"</t>
  </si>
  <si>
    <t>Левицька Олена Миколаївна</t>
  </si>
  <si>
    <t>Марк Євгенович Авдєєв</t>
  </si>
  <si>
    <t>ВФЧ/ШВ/У/2228</t>
  </si>
  <si>
    <t>Кіріл Дмитрович Байков</t>
  </si>
  <si>
    <t>ВФЧ/ШВ/У/2229</t>
  </si>
  <si>
    <t>Софія Олександрівна Басс</t>
  </si>
  <si>
    <t>ВФЧ/ШВ/У/2230</t>
  </si>
  <si>
    <t>Ханим Іграр кизи Валієва</t>
  </si>
  <si>
    <t>ВФЧ/ШВ/У/2231</t>
  </si>
  <si>
    <t>Анастасія Іванівна Валявська</t>
  </si>
  <si>
    <t>ВФЧ/ШВ/У/2232</t>
  </si>
  <si>
    <t>Єлизавета Валеріївна Васільєва</t>
  </si>
  <si>
    <t>ВФЧ/ШВ/У/2233</t>
  </si>
  <si>
    <t>Катерина Андріївна Галаган</t>
  </si>
  <si>
    <t>ВФЧ/ШВ/У/2234</t>
  </si>
  <si>
    <t>Артем Олександрович Галушко</t>
  </si>
  <si>
    <t>ВФЧ/ШВ/У/2235</t>
  </si>
  <si>
    <t>Кирило Євгенович Геращенко</t>
  </si>
  <si>
    <t>ВФЧ/ШВ/У/2236</t>
  </si>
  <si>
    <t>Дар`я Денисівна Гладченко</t>
  </si>
  <si>
    <t>ВФЧ/ШВ/У/2237</t>
  </si>
  <si>
    <t>Кароліна Олександрівна Діденко</t>
  </si>
  <si>
    <t>ВФЧ/ШВ/У/2238</t>
  </si>
  <si>
    <t>Поліна Володимирівна Задніпряна</t>
  </si>
  <si>
    <t>ВФЧ/ШВ/У/2239</t>
  </si>
  <si>
    <t>Карина Олександрівна Коваленко</t>
  </si>
  <si>
    <t>ВФЧ/ШВ/У/2240</t>
  </si>
  <si>
    <t>Аліса Василівна Ковтун</t>
  </si>
  <si>
    <t>ВФЧ/ШВ/У/2241</t>
  </si>
  <si>
    <t>Олексій Сергійович Кот</t>
  </si>
  <si>
    <t>ВФЧ/ШВ/У/2242</t>
  </si>
  <si>
    <t>Данило Олександрович Санжара</t>
  </si>
  <si>
    <t>ВФЧ/ШВ/У/2243</t>
  </si>
  <si>
    <t>Тетяна Олегівна Сіра</t>
  </si>
  <si>
    <t>ВФЧ/ШВ/У/2244</t>
  </si>
  <si>
    <t>Артем Віталійович Тєльний</t>
  </si>
  <si>
    <t>ВФЧ/ШВ/У/2245</t>
  </si>
  <si>
    <t>Софія Сергіївна Тимофієва</t>
  </si>
  <si>
    <t>ВФЧ/ШВ/У/2246</t>
  </si>
  <si>
    <t>Поліна Іллівна Цвігун</t>
  </si>
  <si>
    <t>ВФЧ/ШВ/У/2247</t>
  </si>
  <si>
    <t>Поліна Олексіївна Члек</t>
  </si>
  <si>
    <t>ВФЧ/ШВ/У/2248</t>
  </si>
  <si>
    <t>Богдан Євгенійович Чухліб</t>
  </si>
  <si>
    <t>ВФЧ/ШВ/У/2249</t>
  </si>
  <si>
    <t>Іван Віталійович Шпилевий</t>
  </si>
  <si>
    <t>ВФЧ/ШВ/У/2250</t>
  </si>
  <si>
    <t>Куцеволівський ліцей Онуфріївської селищної ради</t>
  </si>
  <si>
    <t>Писаренко Світлана Олексіївна</t>
  </si>
  <si>
    <t>Харченко Євген Сергійович</t>
  </si>
  <si>
    <t>ВФЧ/ШВ/У/2251</t>
  </si>
  <si>
    <t>Ропало Наталія Геннадіївна</t>
  </si>
  <si>
    <t>ВФЧ/ШВ/У/2252</t>
  </si>
  <si>
    <t>Гриньох  Владислав  Юрійович</t>
  </si>
  <si>
    <t>ВФЧ/ШВ/У/2253</t>
  </si>
  <si>
    <t>Опорний заклад "Ліцей №1 ім. Героя України Березняка Є.С." Помічнянської міської ради</t>
  </si>
  <si>
    <t>Сазіна Оксана Анатоліївна</t>
  </si>
  <si>
    <t>Бабенко Аміна</t>
  </si>
  <si>
    <t>ВФЧ/ШВ/У/2254</t>
  </si>
  <si>
    <t>Сегеда Дар'я</t>
  </si>
  <si>
    <t>ВФЧ/ШВ/У/2255</t>
  </si>
  <si>
    <t>Очеретний Антон</t>
  </si>
  <si>
    <t>ВФЧ/ШВ/У/2256</t>
  </si>
  <si>
    <t>Зінченко Софія</t>
  </si>
  <si>
    <t>ВФЧ/ШВ/У/2257</t>
  </si>
  <si>
    <t>Єлісаветський Єгор</t>
  </si>
  <si>
    <t>ВФЧ/ШВ/У/2258</t>
  </si>
  <si>
    <t>Філоненко Олександра</t>
  </si>
  <si>
    <t>ВФЧ/ШВ/У/2259</t>
  </si>
  <si>
    <t>Горшкова Діана</t>
  </si>
  <si>
    <t>ВФЧ/ШВ/У/2260</t>
  </si>
  <si>
    <t>Мартиненко Рамін</t>
  </si>
  <si>
    <t>ВФЧ/ШВ/У/2261</t>
  </si>
  <si>
    <t>Татієвська Юлія</t>
  </si>
  <si>
    <t>ВФЧ/ШВ/У/2262</t>
  </si>
  <si>
    <t>Гавкалюк Богдан</t>
  </si>
  <si>
    <t>ВФЧ/ШВ/У/2263</t>
  </si>
  <si>
    <t>Димар Дмитро</t>
  </si>
  <si>
    <t>ВФЧ/ШВ/У/2264</t>
  </si>
  <si>
    <t>Фанасютіна Анастасія</t>
  </si>
  <si>
    <t>ВФЧ/ШВ/У/2265</t>
  </si>
  <si>
    <t>Червоненко Кіріл</t>
  </si>
  <si>
    <t>ВФЧ/ШВ/У/2266</t>
  </si>
  <si>
    <t>Харленко Світлана</t>
  </si>
  <si>
    <t>ВФЧ/ШВ/У/2267</t>
  </si>
  <si>
    <t>Панченко Андрій</t>
  </si>
  <si>
    <t>ВФЧ/ШВ/У/2268</t>
  </si>
  <si>
    <t>Півень Вадим</t>
  </si>
  <si>
    <t>ВФЧ/ШВ/У/2269</t>
  </si>
  <si>
    <t>Болтян Анастасія</t>
  </si>
  <si>
    <t>ВФЧ/ШВ/У/2270</t>
  </si>
  <si>
    <t>Радзіковська Ульяна</t>
  </si>
  <si>
    <t>ВФЧ/ШВ/У/2271</t>
  </si>
  <si>
    <t>Овсянніков Владислав</t>
  </si>
  <si>
    <t>ВФЧ/ШВ/У/2272</t>
  </si>
  <si>
    <t>Резніченко Владислава</t>
  </si>
  <si>
    <t>ВФЧ/ШВ/У/2273</t>
  </si>
  <si>
    <t>Риженко Дар'я</t>
  </si>
  <si>
    <t>ВФЧ/ШВ/У/2274</t>
  </si>
  <si>
    <t>Демчук Єлізавета</t>
  </si>
  <si>
    <t>ВФЧ/ШВ/У/2275</t>
  </si>
  <si>
    <t>Чабанов Максим</t>
  </si>
  <si>
    <t>ВФЧ/ШВ/У/2276</t>
  </si>
  <si>
    <t>Будяк Каріна</t>
  </si>
  <si>
    <t>ВФЧ/ШВ/У/2277</t>
  </si>
  <si>
    <t>Рубан Аліна</t>
  </si>
  <si>
    <t>ВФЧ/ШВ/У/2278</t>
  </si>
  <si>
    <t>Гридін Денис</t>
  </si>
  <si>
    <t>ВФЧ/ШВ/У/2279</t>
  </si>
  <si>
    <t>Комунальний заклад "Бобринецький ліцей №1" Бобринецької міської ради Кіровоградської області</t>
  </si>
  <si>
    <t>Сікач Ірина Олександрівна</t>
  </si>
  <si>
    <t>Цибульник Вікторія Олексіївна</t>
  </si>
  <si>
    <t>ВФЧ/ШВ/У/2280</t>
  </si>
  <si>
    <t>Іванченко Анна Андріївна</t>
  </si>
  <si>
    <t>ВФЧ/ШВ/У/2281</t>
  </si>
  <si>
    <t>Дримченко Артем Сергійович</t>
  </si>
  <si>
    <t>ВФЧ/ШВ/У/2282</t>
  </si>
  <si>
    <t>Охріменко Олександр Андрійович</t>
  </si>
  <si>
    <t>ВФЧ/ШВ/У/2283</t>
  </si>
  <si>
    <t>Савін Владислав Євгенійович</t>
  </si>
  <si>
    <t>ВФЧ/ШВ/У/2284</t>
  </si>
  <si>
    <t>Демченко Вероніка Олександрівна</t>
  </si>
  <si>
    <t>ВФЧ/ШВ/У/2285</t>
  </si>
  <si>
    <t>Вовенко Ліна Анатоліївна</t>
  </si>
  <si>
    <t>ВФЧ/ШВ/У/2286</t>
  </si>
  <si>
    <t>Попов Артем Миколайович</t>
  </si>
  <si>
    <t>ВФЧ/ШВ/У/2287</t>
  </si>
  <si>
    <t>Шевчук Максим Вікторович</t>
  </si>
  <si>
    <t>ВФЧ/ШВ/У/2288</t>
  </si>
  <si>
    <t>Бондарчук Ілля Ігорович</t>
  </si>
  <si>
    <t>ВФЧ/ШВ/У/2289</t>
  </si>
  <si>
    <t>Ткаченко Руслан Віталійович</t>
  </si>
  <si>
    <t>ВФЧ/ШВ/У/2290</t>
  </si>
  <si>
    <t>Кремінська школа-гімназія Кремінської міської ради Луганської області</t>
  </si>
  <si>
    <t>Борисенко Діана Іванівна</t>
  </si>
  <si>
    <t>Кудря Вероніка Костянтинівна</t>
  </si>
  <si>
    <t>ВФЧ/ШВ/У/2291</t>
  </si>
  <si>
    <t>Кравченко Іван Вікторович</t>
  </si>
  <si>
    <t>ВФЧ/ШВ/У/2292</t>
  </si>
  <si>
    <t>Короткіх Владислав Вячеславович</t>
  </si>
  <si>
    <t>ВФЧ/ШВ/У/2293</t>
  </si>
  <si>
    <t>Денисенко Поліна Романівна</t>
  </si>
  <si>
    <t>ВФЧ/ШВ/У/2294</t>
  </si>
  <si>
    <t>Солонина Арсеній Геннадійович</t>
  </si>
  <si>
    <t>ВФЧ/ШВ/У/2295</t>
  </si>
  <si>
    <t>Мокротинський ЗЗСО І-ІІІ ступенів</t>
  </si>
  <si>
    <t>Скіра Тетяна Миколаївна</t>
  </si>
  <si>
    <t>Кремінець Софія Романівна</t>
  </si>
  <si>
    <t>ВФЧ/ШВ/У/2296</t>
  </si>
  <si>
    <t>Кобилецька Олена Петрівна</t>
  </si>
  <si>
    <t>ВФЧ/ШВ/У/2297</t>
  </si>
  <si>
    <t>Зазулькевич Ігор Іванович</t>
  </si>
  <si>
    <t>ВФЧ/ШВ/У/2298</t>
  </si>
  <si>
    <t>Карпа Софія Романівна</t>
  </si>
  <si>
    <t>ВФЧ/ШВ/У/2299</t>
  </si>
  <si>
    <t>Ной Марта Романівна</t>
  </si>
  <si>
    <t>ВФЧ/ШВ/У/2300</t>
  </si>
  <si>
    <t>Казимирик Тарас Володимирович</t>
  </si>
  <si>
    <t>ВФЧ/ШВ/У/2301</t>
  </si>
  <si>
    <t>Мигаль Анастасія Романівна</t>
  </si>
  <si>
    <t>ВФЧ/ШВ/У/2302</t>
  </si>
  <si>
    <t>Львівський фізико-математичний ліцей-інтернат при Львівському національному університеті ім. І. Франка</t>
  </si>
  <si>
    <t>Гаврилюк Василь Григорович</t>
  </si>
  <si>
    <t>Наконечний Артур Мар'янович</t>
  </si>
  <si>
    <t>ВФЧ/ШВ/У/2303</t>
  </si>
  <si>
    <t>Новаківський Михайло-Андрій Сергійович</t>
  </si>
  <si>
    <t>ВФЧ/ШВ/У/2304</t>
  </si>
  <si>
    <t>Бругер Анна Віталіївна</t>
  </si>
  <si>
    <t>ВФЧ/ШВ/У/2305</t>
  </si>
  <si>
    <t>Гридова Катерина Володимирівна</t>
  </si>
  <si>
    <t>ВФЧ/ШВ/У/2306</t>
  </si>
  <si>
    <t>Іваньо Ярослав Тарасович</t>
  </si>
  <si>
    <t>ВФЧ/ШВ/У/2307</t>
  </si>
  <si>
    <t>Чернецький Олег Володимирович</t>
  </si>
  <si>
    <t>ВФЧ/ШВ/У/2308</t>
  </si>
  <si>
    <t>Семенина Юлія Богданівна</t>
  </si>
  <si>
    <t>ВФЧ/ШВ/У/2309</t>
  </si>
  <si>
    <t>Цебуля Вадим Олегович</t>
  </si>
  <si>
    <t>ВФЧ/ШВ/У/2310</t>
  </si>
  <si>
    <t xml:space="preserve">Ліцей "Надія" Львівської міської ради		</t>
  </si>
  <si>
    <t>Голосова Лідія Віталіївна</t>
  </si>
  <si>
    <t>Баланда Максим Назарович</t>
  </si>
  <si>
    <t>ВФЧ/ШВ/У/2311</t>
  </si>
  <si>
    <t>Балич Олександр Юрійович</t>
  </si>
  <si>
    <t>ВФЧ/ШВ/У/2312</t>
  </si>
  <si>
    <t>Белко Марія Олександрівна</t>
  </si>
  <si>
    <t>ВФЧ/ШВ/У/2313</t>
  </si>
  <si>
    <t>Білан Максим Вікторович</t>
  </si>
  <si>
    <t>ВФЧ/ШВ/У/2314</t>
  </si>
  <si>
    <t>Бучко Аліна Михайлівна</t>
  </si>
  <si>
    <t>ВФЧ/ШВ/У/2315</t>
  </si>
  <si>
    <t>Вахова Вікторія Андріївна</t>
  </si>
  <si>
    <t>ВФЧ/ШВ/У/2316</t>
  </si>
  <si>
    <t>Вдовиченко Марко Володимирович</t>
  </si>
  <si>
    <t>ВФЧ/ШВ/У/2317</t>
  </si>
  <si>
    <t>Дмитришин Денис Русланович</t>
  </si>
  <si>
    <t>ВФЧ/ШВ/У/2318</t>
  </si>
  <si>
    <t>Дручинський Максим Русланович</t>
  </si>
  <si>
    <t>ВФЧ/ШВ/У/2319</t>
  </si>
  <si>
    <t>Жмуркевич Ірина Андріївна</t>
  </si>
  <si>
    <t>ВФЧ/ШВ/У/2320</t>
  </si>
  <si>
    <t>Ковальчук Юрій Андрійович</t>
  </si>
  <si>
    <t>ВФЧ/ШВ/У/2321</t>
  </si>
  <si>
    <t>Луцишин Марія Іванівна</t>
  </si>
  <si>
    <t>ВФЧ/ШВ/У/2322</t>
  </si>
  <si>
    <t>Микитин Марко Романович</t>
  </si>
  <si>
    <t>ВФЧ/ШВ/У/2323</t>
  </si>
  <si>
    <t>Наконечна Вікторія Степанівна</t>
  </si>
  <si>
    <t>ВФЧ/ШВ/У/2324</t>
  </si>
  <si>
    <t>Орлова Анастасія Русланівна</t>
  </si>
  <si>
    <t>ВФЧ/ШВ/У/2325</t>
  </si>
  <si>
    <t>Пазиняк Ірина Михайлівна</t>
  </si>
  <si>
    <t>ВФЧ/ШВ/У/2326</t>
  </si>
  <si>
    <t>Пендрак Вікторія Ігорівна</t>
  </si>
  <si>
    <t>ВФЧ/ШВ/У/2327</t>
  </si>
  <si>
    <t>Петрів Павло Михайлович</t>
  </si>
  <si>
    <t>ВФЧ/ШВ/У/2328</t>
  </si>
  <si>
    <t>Роман Юлія Петрівна</t>
  </si>
  <si>
    <t>ВФЧ/ШВ/У/2329</t>
  </si>
  <si>
    <t>Рудик Дзвенислава Тарасівна</t>
  </si>
  <si>
    <t>ВФЧ/ШВ/У/2330</t>
  </si>
  <si>
    <t>Сидор Діана Андріївна</t>
  </si>
  <si>
    <t>ВФЧ/ШВ/У/2331</t>
  </si>
  <si>
    <t>Стащук Софія Михайлівна</t>
  </si>
  <si>
    <t>ВФЧ/ШВ/У/2332</t>
  </si>
  <si>
    <t>Струк Олег Сергійович</t>
  </si>
  <si>
    <t>ВФЧ/ШВ/У/2333</t>
  </si>
  <si>
    <t>Ступніцький Ігор Юрійович</t>
  </si>
  <si>
    <t>ВФЧ/ШВ/У/2334</t>
  </si>
  <si>
    <t>Тореєва Анна Сергіївна</t>
  </si>
  <si>
    <t>ВФЧ/ШВ/У/2335</t>
  </si>
  <si>
    <t>Филипів Назар Петрович</t>
  </si>
  <si>
    <t>ВФЧ/ШВ/У/2336</t>
  </si>
  <si>
    <t>Филипів Остап Петрович</t>
  </si>
  <si>
    <t>ВФЧ/ШВ/У/2337</t>
  </si>
  <si>
    <t>Хамандрик Марта - Марія Романівна</t>
  </si>
  <si>
    <t>ВФЧ/ШВ/У/2338</t>
  </si>
  <si>
    <t>Цюпик Йоанна Володимирівна</t>
  </si>
  <si>
    <t>ВФЧ/ШВ/У/2339</t>
  </si>
  <si>
    <t>Липівський ЗЗСО І-ІІІ ступенів</t>
  </si>
  <si>
    <t>Добушовська Оксана Миколаївна</t>
  </si>
  <si>
    <t>Аксененко Юліана Юріївна</t>
  </si>
  <si>
    <t>ВФЧ/ШВ/У/2340</t>
  </si>
  <si>
    <t>Машковська Надія Вікторівна</t>
  </si>
  <si>
    <t>ВФЧ/ШВ/У/2341</t>
  </si>
  <si>
    <t>Машковська Тетяна Вікторівна</t>
  </si>
  <si>
    <t>ВФЧ/ШВ/У/2342</t>
  </si>
  <si>
    <t>Медик Іван Степанович</t>
  </si>
  <si>
    <t>ВФЧ/ШВ/У/2343</t>
  </si>
  <si>
    <t>Нестерчук Софія Володимирівна</t>
  </si>
  <si>
    <t>ВФЧ/ШВ/У/2344</t>
  </si>
  <si>
    <t>Салопанов Олександр Русланович</t>
  </si>
  <si>
    <t>ВФЧ/ШВ/У/2345</t>
  </si>
  <si>
    <t>Синенька Вероніка Василівна</t>
  </si>
  <si>
    <t>ВФЧ/ШВ/У/2346</t>
  </si>
  <si>
    <t>Солдаткіна Валерія Сергіївна</t>
  </si>
  <si>
    <t>ВФЧ/ШВ/У/2347</t>
  </si>
  <si>
    <t>Стойко Юлія Степанівна</t>
  </si>
  <si>
    <t>ВФЧ/ШВ/У/2348</t>
  </si>
  <si>
    <t>ліцей "Сихівський" ЛМР</t>
  </si>
  <si>
    <t>Журба Віталій Євгенійович</t>
  </si>
  <si>
    <t>Балан Б. М.</t>
  </si>
  <si>
    <t>ВФЧ/ШВ/У/2349</t>
  </si>
  <si>
    <t>Банах С. А.</t>
  </si>
  <si>
    <t>ВФЧ/ШВ/У/2350</t>
  </si>
  <si>
    <t>Барабаш Я. Я.</t>
  </si>
  <si>
    <t>ВФЧ/ШВ/У/2351</t>
  </si>
  <si>
    <t>Безкоровайний В. В.</t>
  </si>
  <si>
    <t>ВФЧ/ШВ/У/2352</t>
  </si>
  <si>
    <t>Березюк Ю. А.</t>
  </si>
  <si>
    <t>ВФЧ/ШВ/У/2353</t>
  </si>
  <si>
    <t>Бобиляк Ю. А.</t>
  </si>
  <si>
    <t>ВФЧ/ШВ/У/2354</t>
  </si>
  <si>
    <t>Борис А. В.</t>
  </si>
  <si>
    <t>ВФЧ/ШВ/У/2355</t>
  </si>
  <si>
    <t>Брошко М. О.</t>
  </si>
  <si>
    <t>ВФЧ/ШВ/У/2356</t>
  </si>
  <si>
    <t>Буська А. К.</t>
  </si>
  <si>
    <t>ВФЧ/ШВ/У/2357</t>
  </si>
  <si>
    <t>Василишин А. М.</t>
  </si>
  <si>
    <t>ВФЧ/ШВ/У/2358</t>
  </si>
  <si>
    <t>Витрикуш Д. В.</t>
  </si>
  <si>
    <t>ВФЧ/ШВ/У/2359</t>
  </si>
  <si>
    <t>Вишиваний М. В.</t>
  </si>
  <si>
    <t>ВФЧ/ШВ/У/2360</t>
  </si>
  <si>
    <t>Віницький В. С.</t>
  </si>
  <si>
    <t>ВФЧ/ШВ/У/2361</t>
  </si>
  <si>
    <t>Вінчур В. В.</t>
  </si>
  <si>
    <t>ВФЧ/ШВ/У/2362</t>
  </si>
  <si>
    <t>Владимиренко Д. Р.</t>
  </si>
  <si>
    <t>ВФЧ/ШВ/У/2363</t>
  </si>
  <si>
    <t>Вненкевич Д. А.</t>
  </si>
  <si>
    <t>ВФЧ/ШВ/У/2364</t>
  </si>
  <si>
    <t>ВФЧ/ШВ/У/2365</t>
  </si>
  <si>
    <t>Волошин Ю. Р.</t>
  </si>
  <si>
    <t>ВФЧ/ШВ/У/2366</t>
  </si>
  <si>
    <t>Вонітова М. Т.</t>
  </si>
  <si>
    <t>ВФЧ/ШВ/У/2367</t>
  </si>
  <si>
    <t>Галанюк Я. Ю.</t>
  </si>
  <si>
    <t>ВФЧ/ШВ/У/2368</t>
  </si>
  <si>
    <t>Гладун Ю. В.</t>
  </si>
  <si>
    <t>ВФЧ/ШВ/У/2369</t>
  </si>
  <si>
    <t>Головка Н. Л.</t>
  </si>
  <si>
    <t>ВФЧ/ШВ/У/2370</t>
  </si>
  <si>
    <t>Горін Д. Н.</t>
  </si>
  <si>
    <t>ВФЧ/ШВ/У/2371</t>
  </si>
  <si>
    <t>Горішня С. Ю.</t>
  </si>
  <si>
    <t>ВФЧ/ШВ/У/2372</t>
  </si>
  <si>
    <t>Грабарчук А. Ю.</t>
  </si>
  <si>
    <t>ВФЧ/ШВ/У/2373</t>
  </si>
  <si>
    <t>Грабовенський С. І.</t>
  </si>
  <si>
    <t>ВФЧ/ШВ/У/2374</t>
  </si>
  <si>
    <t>Греділь А. А.</t>
  </si>
  <si>
    <t>ВФЧ/ШВ/У/2375</t>
  </si>
  <si>
    <t>Гривул М. Р.</t>
  </si>
  <si>
    <t>ВФЧ/ШВ/У/2376</t>
  </si>
  <si>
    <t>Дацишин А. С.</t>
  </si>
  <si>
    <t>ВФЧ/ШВ/У/2377</t>
  </si>
  <si>
    <t>Демус О. Т.</t>
  </si>
  <si>
    <t>ВФЧ/ШВ/У/2378</t>
  </si>
  <si>
    <t>Дмитрієв В. О.</t>
  </si>
  <si>
    <t>ВФЧ/ШВ/У/2379</t>
  </si>
  <si>
    <t>Дойков Д. С.</t>
  </si>
  <si>
    <t>ВФЧ/ШВ/У/2380</t>
  </si>
  <si>
    <t>Дубровська С. В.</t>
  </si>
  <si>
    <t>ВФЧ/ШВ/У/2381</t>
  </si>
  <si>
    <t>Завидівська О. З.</t>
  </si>
  <si>
    <t>ВФЧ/ШВ/У/2382</t>
  </si>
  <si>
    <t>Занько Є. В.</t>
  </si>
  <si>
    <t>ВФЧ/ШВ/У/2383</t>
  </si>
  <si>
    <t>Зуб В. Є.</t>
  </si>
  <si>
    <t>ВФЧ/ШВ/У/2384</t>
  </si>
  <si>
    <t>Ільєва С. Т.</t>
  </si>
  <si>
    <t>ВФЧ/ШВ/У/2385</t>
  </si>
  <si>
    <t>Казимир М. М.</t>
  </si>
  <si>
    <t>ВФЧ/ШВ/У/2386</t>
  </si>
  <si>
    <t>Калашник С. О.</t>
  </si>
  <si>
    <t>ВФЧ/ШВ/У/2387</t>
  </si>
  <si>
    <t>Ковган О. О.</t>
  </si>
  <si>
    <t>ВФЧ/ШВ/У/2388</t>
  </si>
  <si>
    <t>Ковлига Ю. Р.</t>
  </si>
  <si>
    <t>ВФЧ/ШВ/У/2389</t>
  </si>
  <si>
    <t>Козак Д. С.</t>
  </si>
  <si>
    <t>ВФЧ/ШВ/У/2390</t>
  </si>
  <si>
    <t>Козуб О. О.</t>
  </si>
  <si>
    <t>ВФЧ/ШВ/У/2391</t>
  </si>
  <si>
    <t>Колодій А. О.</t>
  </si>
  <si>
    <t>ВФЧ/ШВ/У/2392</t>
  </si>
  <si>
    <t>Кузьма Ю. О.</t>
  </si>
  <si>
    <t>ВФЧ/ШВ/У/2393</t>
  </si>
  <si>
    <t>Кулик Д. О.</t>
  </si>
  <si>
    <t>ВФЧ/ШВ/У/2394</t>
  </si>
  <si>
    <t>Кусьо В. Ю.</t>
  </si>
  <si>
    <t>ВФЧ/ШВ/У/2395</t>
  </si>
  <si>
    <t>Кутерещин Ю. З.</t>
  </si>
  <si>
    <t>ВФЧ/ШВ/У/2396</t>
  </si>
  <si>
    <t>Ленько Д. Р.</t>
  </si>
  <si>
    <t>ВФЧ/ШВ/У/2397</t>
  </si>
  <si>
    <t>Маланюк С. Ю.</t>
  </si>
  <si>
    <t>ВФЧ/ШВ/У/2398</t>
  </si>
  <si>
    <t>Маршалок О. Р.</t>
  </si>
  <si>
    <t>ВФЧ/ШВ/У/2399</t>
  </si>
  <si>
    <t>Мучко Ю. С.</t>
  </si>
  <si>
    <t>ВФЧ/ШВ/У/2400</t>
  </si>
  <si>
    <t>Наконечна Є. П.</t>
  </si>
  <si>
    <t>ВФЧ/ШВ/У/2401</t>
  </si>
  <si>
    <t>Новіков В. В.</t>
  </si>
  <si>
    <t>ВФЧ/ШВ/У/2402</t>
  </si>
  <si>
    <t>Озарко М. С.</t>
  </si>
  <si>
    <t>ВФЧ/ШВ/У/2403</t>
  </si>
  <si>
    <t>Олійник Х. А.</t>
  </si>
  <si>
    <t>ВФЧ/ШВ/У/2404</t>
  </si>
  <si>
    <t>Павлінова В. Д.</t>
  </si>
  <si>
    <t>ВФЧ/ШВ/У/2405</t>
  </si>
  <si>
    <t>Панасюк В. Т.</t>
  </si>
  <si>
    <t>ВФЧ/ШВ/У/2406</t>
  </si>
  <si>
    <t>Петренко А. В.</t>
  </si>
  <si>
    <t>ВФЧ/ШВ/У/2407</t>
  </si>
  <si>
    <t>Пігарев Д. М.</t>
  </si>
  <si>
    <t>ВФЧ/ШВ/У/2408</t>
  </si>
  <si>
    <t>Покасюк М. В.</t>
  </si>
  <si>
    <t>ВФЧ/ШВ/У/2409</t>
  </si>
  <si>
    <t>Присяжник В. В.</t>
  </si>
  <si>
    <t>ВФЧ/ШВ/У/2410</t>
  </si>
  <si>
    <t>Процак А. Т.</t>
  </si>
  <si>
    <t>ВФЧ/ШВ/У/2411</t>
  </si>
  <si>
    <t>Проць В. О.</t>
  </si>
  <si>
    <t>ВФЧ/ШВ/У/2412</t>
  </si>
  <si>
    <t>Романяк А. Р.</t>
  </si>
  <si>
    <t>ВФЧ/ШВ/У/2413</t>
  </si>
  <si>
    <t>Сагань А. О.</t>
  </si>
  <si>
    <t>ВФЧ/ШВ/У/2414</t>
  </si>
  <si>
    <t>Сеник І. В.</t>
  </si>
  <si>
    <t>ВФЧ/ШВ/У/2415</t>
  </si>
  <si>
    <t>Собко О. Р.</t>
  </si>
  <si>
    <t>ВФЧ/ШВ/У/2416</t>
  </si>
  <si>
    <t>Стасів Н. Л.</t>
  </si>
  <si>
    <t>ВФЧ/ШВ/У/2417</t>
  </si>
  <si>
    <t>Стащак Р. П.</t>
  </si>
  <si>
    <t>ВФЧ/ШВ/У/2418</t>
  </si>
  <si>
    <t>Сушко С. С.</t>
  </si>
  <si>
    <t>ВФЧ/ШВ/У/2419</t>
  </si>
  <si>
    <t>Сьорак М. Р.</t>
  </si>
  <si>
    <t>ВФЧ/ШВ/У/2420</t>
  </si>
  <si>
    <t>Топоринська І. В.</t>
  </si>
  <si>
    <t>ВФЧ/ШВ/У/2421</t>
  </si>
  <si>
    <t>Трофимович В. І.</t>
  </si>
  <si>
    <t>ВФЧ/ШВ/У/2422</t>
  </si>
  <si>
    <t>Турко О. В.</t>
  </si>
  <si>
    <t>ВФЧ/ШВ/У/2423</t>
  </si>
  <si>
    <t>Файда М. Б.</t>
  </si>
  <si>
    <t>ВФЧ/ШВ/У/2424</t>
  </si>
  <si>
    <t>Флерчук Є. М.</t>
  </si>
  <si>
    <t>ВФЧ/ШВ/У/2425</t>
  </si>
  <si>
    <t>Цар А. О.</t>
  </si>
  <si>
    <t>ВФЧ/ШВ/У/2426</t>
  </si>
  <si>
    <t>Цицик С. В.</t>
  </si>
  <si>
    <t>ВФЧ/ШВ/У/2427</t>
  </si>
  <si>
    <t>Чех А. Л.</t>
  </si>
  <si>
    <t>ВФЧ/ШВ/У/2428</t>
  </si>
  <si>
    <t>Шандра С. Т.</t>
  </si>
  <si>
    <t>ВФЧ/ШВ/У/2429</t>
  </si>
  <si>
    <t>Шаповалов Т. І.</t>
  </si>
  <si>
    <t>ВФЧ/ШВ/У/2430</t>
  </si>
  <si>
    <t>Шевченко Х. Р.</t>
  </si>
  <si>
    <t>ВФЧ/ШВ/У/2431</t>
  </si>
  <si>
    <t>Шеремета Р. В.</t>
  </si>
  <si>
    <t>ВФЧ/ШВ/У/2432</t>
  </si>
  <si>
    <t>Яцикова М. В.</t>
  </si>
  <si>
    <t>ВФЧ/ШВ/У/2433</t>
  </si>
  <si>
    <t>Ліцей №46 ім.В.Чорновола Львівської міської ради</t>
  </si>
  <si>
    <t>Кирильчук Оксана Іванівна</t>
  </si>
  <si>
    <t>Ометюх Назарій Васильович</t>
  </si>
  <si>
    <t>ВФЧ/ШВ/У/2434</t>
  </si>
  <si>
    <t>Пашкова Марія Євгенівна</t>
  </si>
  <si>
    <t>ВФЧ/ШВ/У/2435</t>
  </si>
  <si>
    <t>Кмета Владислав Дмитрович</t>
  </si>
  <si>
    <t>ВФЧ/ШВ/У/2436</t>
  </si>
  <si>
    <t>Мазур-Корсакова Адріана Юріівна</t>
  </si>
  <si>
    <t>ВФЧ/ШВ/У/2437</t>
  </si>
  <si>
    <t>Купчак Ростислав Орестович</t>
  </si>
  <si>
    <t>ВФЧ/ШВ/У/2438</t>
  </si>
  <si>
    <t>Карпін Олена Олексіївна</t>
  </si>
  <si>
    <t>ВФЧ/ШВ/У/2439</t>
  </si>
  <si>
    <t>Лупак Роман Романович</t>
  </si>
  <si>
    <t>ВФЧ/ШВ/У/2440</t>
  </si>
  <si>
    <t>Кіт Руслан Іванович</t>
  </si>
  <si>
    <t>ВФЧ/ШВ/У/2441</t>
  </si>
  <si>
    <t>Димид Анастасія Миколаївна</t>
  </si>
  <si>
    <t>ВФЧ/ШВ/У/2442</t>
  </si>
  <si>
    <t>Пенцко Лев Львович</t>
  </si>
  <si>
    <t>ВФЧ/ШВ/У/2443</t>
  </si>
  <si>
    <t>Тренін Олег Олексійович</t>
  </si>
  <si>
    <t>ВФЧ/ШВ/У/2444</t>
  </si>
  <si>
    <t>Козловська Аліна Юріівна</t>
  </si>
  <si>
    <t>ВФЧ/ШВ/У/2445</t>
  </si>
  <si>
    <t>Левусь Анна Василівна</t>
  </si>
  <si>
    <t>ВФЧ/ШВ/У/2446</t>
  </si>
  <si>
    <t>Зубаль Діана Іванівна</t>
  </si>
  <si>
    <t>ВФЧ/ШВ/У/2447</t>
  </si>
  <si>
    <t>Горгут Оксана Василівна</t>
  </si>
  <si>
    <t>ВФЧ/ШВ/У/2448</t>
  </si>
  <si>
    <t>Андрухович Єлизавета Сергіївна</t>
  </si>
  <si>
    <t>ВФЧ/ШВ/У/2449</t>
  </si>
  <si>
    <t>Бала Данило Ігорович</t>
  </si>
  <si>
    <t>ВФЧ/ШВ/У/2450</t>
  </si>
  <si>
    <t>Козина Дмитро Андрійович</t>
  </si>
  <si>
    <t>ВФЧ/ШВ/У/2451</t>
  </si>
  <si>
    <t>Сушко Маряна Олегівна</t>
  </si>
  <si>
    <t>ВФЧ/ШВ/У/2452</t>
  </si>
  <si>
    <t>Мислюк Вероніка Михайлівна</t>
  </si>
  <si>
    <t>ВФЧ/ШВ/У/2453</t>
  </si>
  <si>
    <t>Пікула Катерина Юріївна</t>
  </si>
  <si>
    <t>ВФЧ/ШВ/У/2454</t>
  </si>
  <si>
    <t>Окрепка Діана Юріївна</t>
  </si>
  <si>
    <t>ВФЧ/ШВ/У/2455</t>
  </si>
  <si>
    <t>Мох Вікторія Тарасівна</t>
  </si>
  <si>
    <t>ВФЧ/ШВ/У/2456</t>
  </si>
  <si>
    <t>Лелюх Віталій Дмитрович</t>
  </si>
  <si>
    <t>ВФЧ/ШВ/У/2457</t>
  </si>
  <si>
    <t>Горобняк Данило Романович</t>
  </si>
  <si>
    <t>ВФЧ/ШВ/У/2458</t>
  </si>
  <si>
    <t>Дзяма Іван Васильович</t>
  </si>
  <si>
    <t>ВФЧ/ШВ/У/2459</t>
  </si>
  <si>
    <t>Танасійчук Вікторія Ігорівна</t>
  </si>
  <si>
    <t>ВФЧ/ШВ/У/2460</t>
  </si>
  <si>
    <t>Подольчак Вікторія Тарасівна</t>
  </si>
  <si>
    <t>ВФЧ/ШВ/У/2461</t>
  </si>
  <si>
    <t>Якубовський Василь Олегович</t>
  </si>
  <si>
    <t>ВФЧ/ШВ/У/2462</t>
  </si>
  <si>
    <t>Сухій Юлія Миколаївна</t>
  </si>
  <si>
    <t>ВФЧ/ШВ/У/2463</t>
  </si>
  <si>
    <t>Середня загальноосвітня школа І-ІІІ ступенів №29 м. Львова</t>
  </si>
  <si>
    <t>Климко Ярина Миронівна</t>
  </si>
  <si>
    <t>Булик Анна Павлівна</t>
  </si>
  <si>
    <t>ВФЧ/ШВ/У/2464</t>
  </si>
  <si>
    <t>Грицай Вікторія Теодорівна</t>
  </si>
  <si>
    <t>ВФЧ/ШВ/У/2465</t>
  </si>
  <si>
    <t>Гулій Софія Олегівна</t>
  </si>
  <si>
    <t>ВФЧ/ШВ/У/2466</t>
  </si>
  <si>
    <t>Синельник Анастасія Андріївна</t>
  </si>
  <si>
    <t>ВФЧ/ШВ/У/2467</t>
  </si>
  <si>
    <t>Лущик Дмитро Сергійович</t>
  </si>
  <si>
    <t>ВФЧ/ШВ/У/2468</t>
  </si>
  <si>
    <t>Лютікова Софія Олександрівна</t>
  </si>
  <si>
    <t>ВФЧ/ШВ/У/2469</t>
  </si>
  <si>
    <t>Хомик Анастасія Ростиславівна</t>
  </si>
  <si>
    <t>ВФЧ/ШВ/У/2470</t>
  </si>
  <si>
    <t>Навчально - виховний комплекс "Інженерно - економічна школа – Львівський економічний ліцей"</t>
  </si>
  <si>
    <t>Кравчук Оксана Ярославівна</t>
  </si>
  <si>
    <t>Тчинецький Роман</t>
  </si>
  <si>
    <t>ВФЧ/ШВ/У/2471</t>
  </si>
  <si>
    <t>Акимишин Софія</t>
  </si>
  <si>
    <t>ВФЧ/ШВ/У/2472</t>
  </si>
  <si>
    <t>Білостоцька Анна</t>
  </si>
  <si>
    <t>ВФЧ/ШВ/У/2473</t>
  </si>
  <si>
    <t>Присяжна Анастасія</t>
  </si>
  <si>
    <t>ВФЧ/ШВ/У/2474</t>
  </si>
  <si>
    <t>Нестер Квіта</t>
  </si>
  <si>
    <t>ВФЧ/ШВ/У/2475</t>
  </si>
  <si>
    <t>Терещак Ірина</t>
  </si>
  <si>
    <t>ВФЧ/ШВ/У/2476</t>
  </si>
  <si>
    <t>Кардаш Володимир</t>
  </si>
  <si>
    <t>ВФЧ/ШВ/У/2477</t>
  </si>
  <si>
    <t>Харапнікевич Руслана</t>
  </si>
  <si>
    <t>ВФЧ/ШВ/У/2478</t>
  </si>
  <si>
    <t>Олексів Богдан</t>
  </si>
  <si>
    <t>ВФЧ/ШВ/У/2479</t>
  </si>
  <si>
    <t>Оліховська Яна</t>
  </si>
  <si>
    <t>ВФЧ/ШВ/У/2480</t>
  </si>
  <si>
    <t>Осипчук Назар</t>
  </si>
  <si>
    <t>ВФЧ/ШВ/У/2481</t>
  </si>
  <si>
    <t>Загамула Єлизавета</t>
  </si>
  <si>
    <t>ВФЧ/ШВ/У/2482</t>
  </si>
  <si>
    <t>Рарук Лук'ян</t>
  </si>
  <si>
    <t>ВФЧ/ШВ/У/2483</t>
  </si>
  <si>
    <t>Жук Соломія</t>
  </si>
  <si>
    <t>ВФЧ/ШВ/У/2484</t>
  </si>
  <si>
    <t>Дідух Анастасія</t>
  </si>
  <si>
    <t>ВФЧ/ШВ/У/2485</t>
  </si>
  <si>
    <t>Блонський Святослав</t>
  </si>
  <si>
    <t>ВФЧ/ШВ/У/2486</t>
  </si>
  <si>
    <t>Яців Маркіян</t>
  </si>
  <si>
    <t>ВФЧ/ШВ/У/2487</t>
  </si>
  <si>
    <t>Оліярник Маркіян</t>
  </si>
  <si>
    <t>ВФЧ/ШВ/У/2488</t>
  </si>
  <si>
    <t>Папка Матвій</t>
  </si>
  <si>
    <t>ВФЧ/ШВ/У/2489</t>
  </si>
  <si>
    <t>Ганзін Єгор</t>
  </si>
  <si>
    <t>ВФЧ/ШВ/У/2490</t>
  </si>
  <si>
    <t>Тарнавчик Ярослав</t>
  </si>
  <si>
    <t>ВФЧ/ШВ/У/2491</t>
  </si>
  <si>
    <t>Сенюра Юрій</t>
  </si>
  <si>
    <t>ВФЧ/ШВ/У/2492</t>
  </si>
  <si>
    <t>Львівська правнича гімназія</t>
  </si>
  <si>
    <t>Леда Галина Мирославівна</t>
  </si>
  <si>
    <t>Воротков Константин Анатолійович</t>
  </si>
  <si>
    <t>ВФЧ/ШВ/У/2493</t>
  </si>
  <si>
    <t>Гергель Арина Олегівна</t>
  </si>
  <si>
    <t>ВФЧ/ШВ/У/2494</t>
  </si>
  <si>
    <t>Дутко Вероніка Остапівна</t>
  </si>
  <si>
    <t>ВФЧ/ШВ/У/2495</t>
  </si>
  <si>
    <t>Кінаш Михайло Орестович</t>
  </si>
  <si>
    <t>ВФЧ/ШВ/У/2496</t>
  </si>
  <si>
    <t>Криса Анастасія Орестівна</t>
  </si>
  <si>
    <t>ВФЧ/ШВ/У/2497</t>
  </si>
  <si>
    <t>Махнюк Владислав Арсенович</t>
  </si>
  <si>
    <t>ВФЧ/ШВ/У/2498</t>
  </si>
  <si>
    <t>Паламар Ростислав Володимирович</t>
  </si>
  <si>
    <t>ВФЧ/ШВ/У/2499</t>
  </si>
  <si>
    <t>Федорчук Анна Володимирівна</t>
  </si>
  <si>
    <t>ВФЧ/ШВ/У/2500</t>
  </si>
  <si>
    <t>Шарак Назарій Анатолійович</t>
  </si>
  <si>
    <t>ВФЧ/ШВ/У/2501</t>
  </si>
  <si>
    <t>Зашківський ліцей імені Євгена Коновальця</t>
  </si>
  <si>
    <t>Лущак Наталія Олександрівна</t>
  </si>
  <si>
    <t>Думанська Галина</t>
  </si>
  <si>
    <t>ВФЧ/ШВ/У/2502</t>
  </si>
  <si>
    <t>Кокошко Софія</t>
  </si>
  <si>
    <t>ВФЧ/ШВ/У/2503</t>
  </si>
  <si>
    <t>Макуховський Назар</t>
  </si>
  <si>
    <t>ВФЧ/ШВ/У/2504</t>
  </si>
  <si>
    <t>Мотник Василина</t>
  </si>
  <si>
    <t>ВФЧ/ШВ/У/2505</t>
  </si>
  <si>
    <t>Ошийко Світлана</t>
  </si>
  <si>
    <t>ВФЧ/ШВ/У/2506</t>
  </si>
  <si>
    <t>Сава Володимир</t>
  </si>
  <si>
    <t>ВФЧ/ШВ/У/2507</t>
  </si>
  <si>
    <t>Цюрпіта Віталій</t>
  </si>
  <si>
    <t>ВФЧ/ШВ/У/2508</t>
  </si>
  <si>
    <t>Ярема Марія</t>
  </si>
  <si>
    <t>ВФЧ/ШВ/У/2509</t>
  </si>
  <si>
    <t>Львівська гімназія "Євшан"</t>
  </si>
  <si>
    <t>Мадай Лідія Орестівна</t>
  </si>
  <si>
    <t>Дудич Роксолана</t>
  </si>
  <si>
    <t>ВФЧ/ШВ/У/2510</t>
  </si>
  <si>
    <t>Карп'як Софія</t>
  </si>
  <si>
    <t>ВФЧ/ШВ/У/2511</t>
  </si>
  <si>
    <t>Коновалик Марко</t>
  </si>
  <si>
    <t>ВФЧ/ШВ/У/2512</t>
  </si>
  <si>
    <t>КЗ ЛОР "Обласний науковий ліцей"</t>
  </si>
  <si>
    <t>Марущак Іван Михайлович</t>
  </si>
  <si>
    <t>Асафат Роман Іванович</t>
  </si>
  <si>
    <t>ВФЧ/ШВ/У/2513</t>
  </si>
  <si>
    <t>Білах Павло Віталійович</t>
  </si>
  <si>
    <t>ВФЧ/ШВ/У/2514</t>
  </si>
  <si>
    <t>Бондарь Віталіна Іванівна</t>
  </si>
  <si>
    <t>ВФЧ/ШВ/У/2515</t>
  </si>
  <si>
    <t>Вітушинська Ольга-Уляна Романівна</t>
  </si>
  <si>
    <t>ВФЧ/ШВ/У/2516</t>
  </si>
  <si>
    <t>Держипільська Яна Юріївна</t>
  </si>
  <si>
    <t>ВФЧ/ШВ/У/2517</t>
  </si>
  <si>
    <t>Івасівка Остап Орестович</t>
  </si>
  <si>
    <t>ВФЧ/ШВ/У/2518</t>
  </si>
  <si>
    <t>Карпин Марко Львович</t>
  </si>
  <si>
    <t>ВФЧ/ШВ/У/2519</t>
  </si>
  <si>
    <t>Клименко Вероніка Констянтинівна</t>
  </si>
  <si>
    <t>ВФЧ/ШВ/У/2520</t>
  </si>
  <si>
    <t>Ковальчук Павло Романович</t>
  </si>
  <si>
    <t>ВФЧ/ШВ/У/2521</t>
  </si>
  <si>
    <t>Козинець Софія Михайлівна</t>
  </si>
  <si>
    <t>ВФЧ/ШВ/У/2522</t>
  </si>
  <si>
    <t>Колосовська Діана Андріївна</t>
  </si>
  <si>
    <t>ВФЧ/ШВ/У/2523</t>
  </si>
  <si>
    <t>Коссак Ангеліна Андріївна</t>
  </si>
  <si>
    <t>ВФЧ/ШВ/У/2524</t>
  </si>
  <si>
    <t>Кузбит Вероніка Іванівна</t>
  </si>
  <si>
    <t>ВФЧ/ШВ/У/2525</t>
  </si>
  <si>
    <t>Куць Максим Михайлович</t>
  </si>
  <si>
    <t>ВФЧ/ШВ/У/2526</t>
  </si>
  <si>
    <t>Летнянка Вікторія Миколаївна</t>
  </si>
  <si>
    <t>ВФЧ/ШВ/У/2527</t>
  </si>
  <si>
    <t>Ляхович Сніжана Степанівна</t>
  </si>
  <si>
    <t>ВФЧ/ШВ/У/2528</t>
  </si>
  <si>
    <t>Манапова Дар’я Хасанівна</t>
  </si>
  <si>
    <t>ВФЧ/ШВ/У/2529</t>
  </si>
  <si>
    <t>Мандзяк Олег Ярославович</t>
  </si>
  <si>
    <t>ВФЧ/ШВ/У/2530</t>
  </si>
  <si>
    <t>Марущак Діана-Марія Миколаївна</t>
  </si>
  <si>
    <t>ВФЧ/ШВ/У/2531</t>
  </si>
  <si>
    <t>Марущак Ірина Олегівна</t>
  </si>
  <si>
    <t>ВФЧ/ШВ/У/2532</t>
  </si>
  <si>
    <t>Масюткін Гаррі Олексійович</t>
  </si>
  <si>
    <t>ВФЧ/ШВ/У/2533</t>
  </si>
  <si>
    <t>Муль Інеса Романівна</t>
  </si>
  <si>
    <t>ВФЧ/ШВ/У/2534</t>
  </si>
  <si>
    <t>Нєхлєбова Вікторія Павлівна</t>
  </si>
  <si>
    <t>ВФЧ/ШВ/У/2535</t>
  </si>
  <si>
    <t>Пацьорко Вікторія Михайлівна</t>
  </si>
  <si>
    <t>ВФЧ/ШВ/У/2536</t>
  </si>
  <si>
    <t>Петришин Анастасія Михайлівна</t>
  </si>
  <si>
    <t>ВФЧ/ШВ/У/2537</t>
  </si>
  <si>
    <t>Піцикевич Вероніка Андріївна</t>
  </si>
  <si>
    <t>ВФЧ/ШВ/У/2538</t>
  </si>
  <si>
    <t>Пліско Святослав Володимирович</t>
  </si>
  <si>
    <t>ВФЧ/ШВ/У/2539</t>
  </si>
  <si>
    <t>Попадинець Надія Василівна</t>
  </si>
  <si>
    <t>ВФЧ/ШВ/У/2540</t>
  </si>
  <si>
    <t>Родіонова Тетяна Василівна</t>
  </si>
  <si>
    <t>ВФЧ/ШВ/У/2541</t>
  </si>
  <si>
    <t>Савчак Соломія Василівна</t>
  </si>
  <si>
    <t>ВФЧ/ШВ/У/2542</t>
  </si>
  <si>
    <t>Студент Олена Михайлівна</t>
  </si>
  <si>
    <t>ВФЧ/ШВ/У/2543</t>
  </si>
  <si>
    <t>Тезбір Андрій Ігорович</t>
  </si>
  <si>
    <t>ВФЧ/ШВ/У/2544</t>
  </si>
  <si>
    <t>Чемерега Анна Юріївна</t>
  </si>
  <si>
    <t>ВФЧ/ШВ/У/2545</t>
  </si>
  <si>
    <t>СЗШ №34 ім.М.Шашкевича</t>
  </si>
  <si>
    <t>Місінська Світлана Михайлівна</t>
  </si>
  <si>
    <t>Базалієв Даниїл</t>
  </si>
  <si>
    <t>ВФЧ/ШВ/У/2546</t>
  </si>
  <si>
    <t>Власов Максим</t>
  </si>
  <si>
    <t>ВФЧ/ШВ/У/2547</t>
  </si>
  <si>
    <t>Галіца Сергій</t>
  </si>
  <si>
    <t>ВФЧ/ШВ/У/2548</t>
  </si>
  <si>
    <t>Гуменюк Катерина</t>
  </si>
  <si>
    <t>ВФЧ/ШВ/У/2549</t>
  </si>
  <si>
    <t>Масловська Ангеліна</t>
  </si>
  <si>
    <t>ВФЧ/ШВ/У/2550</t>
  </si>
  <si>
    <t>Вельган Яна</t>
  </si>
  <si>
    <t>ВФЧ/ШВ/У/2551</t>
  </si>
  <si>
    <t>Кравець Єлизавета</t>
  </si>
  <si>
    <t>ВФЧ/ШВ/У/2552</t>
  </si>
  <si>
    <t>Орищин Ананстасія</t>
  </si>
  <si>
    <t>ВФЧ/ШВ/У/2553</t>
  </si>
  <si>
    <t>Таберт Богдан</t>
  </si>
  <si>
    <t>ВФЧ/ШВ/У/2554</t>
  </si>
  <si>
    <t>Хижук Анастасія</t>
  </si>
  <si>
    <t>ВФЧ/ШВ/У/2555</t>
  </si>
  <si>
    <t>Хижук Софія</t>
  </si>
  <si>
    <t>ВФЧ/ШВ/У/2556</t>
  </si>
  <si>
    <t>Шиба Маркіян</t>
  </si>
  <si>
    <t>ВФЧ/ШВ/У/2557</t>
  </si>
  <si>
    <t>Боровець Олександр</t>
  </si>
  <si>
    <t>ВФЧ/ШВ/У/2558</t>
  </si>
  <si>
    <t>Войновська Інеса</t>
  </si>
  <si>
    <t>ВФЧ/ШВ/У/2559</t>
  </si>
  <si>
    <t>Ісопчук Софія</t>
  </si>
  <si>
    <t>ВФЧ/ШВ/У/2560</t>
  </si>
  <si>
    <t>Оліховська Віра</t>
  </si>
  <si>
    <t>ВФЧ/ШВ/У/2561</t>
  </si>
  <si>
    <t>Туркот Вероніка</t>
  </si>
  <si>
    <t>ВФЧ/ШВ/У/2562</t>
  </si>
  <si>
    <t>Якуба Марта</t>
  </si>
  <si>
    <t>ВФЧ/ШВ/У/2563</t>
  </si>
  <si>
    <t>Баландюх Вікторія</t>
  </si>
  <si>
    <t>ВФЧ/ШВ/У/2564</t>
  </si>
  <si>
    <t>Буньо Юрій</t>
  </si>
  <si>
    <t>ВФЧ/ШВ/У/2565</t>
  </si>
  <si>
    <t>Гулик Ірина</t>
  </si>
  <si>
    <t>ВФЧ/ШВ/У/2566</t>
  </si>
  <si>
    <t>Загайко Андрій</t>
  </si>
  <si>
    <t>ВФЧ/ШВ/У/2567</t>
  </si>
  <si>
    <t>Лаврінців Максим</t>
  </si>
  <si>
    <t>ВФЧ/ШВ/У/2568</t>
  </si>
  <si>
    <t>Максимович Валерія</t>
  </si>
  <si>
    <t>ВФЧ/ШВ/У/2569</t>
  </si>
  <si>
    <t>Новаківська Анна</t>
  </si>
  <si>
    <t>ВФЧ/ШВ/У/2570</t>
  </si>
  <si>
    <t>Сагайдак Марта-Марія</t>
  </si>
  <si>
    <t>ВФЧ/ШВ/У/2571</t>
  </si>
  <si>
    <t>Тухай Вікторія</t>
  </si>
  <si>
    <t>ВФЧ/ШВ/У/2572</t>
  </si>
  <si>
    <t>Стенятинська ЗШ І-ІІІ ступенів</t>
  </si>
  <si>
    <t>Павкович Ірина Ігорівна</t>
  </si>
  <si>
    <t>Козачок Юлія Юріївна</t>
  </si>
  <si>
    <t>ВФЧ/ШВ/У/2573</t>
  </si>
  <si>
    <t>Коцюбяк Діана Василівна</t>
  </si>
  <si>
    <t>ВФЧ/ШВ/У/2574</t>
  </si>
  <si>
    <t>Герус Назарій Андрійович</t>
  </si>
  <si>
    <t>ВФЧ/ШВ/У/2575</t>
  </si>
  <si>
    <t>Хмара Софія Сергіївна</t>
  </si>
  <si>
    <t>ВФЧ/ШВ/У/2576</t>
  </si>
  <si>
    <t>Ріжка Ярина Василівна</t>
  </si>
  <si>
    <t>ВФЧ/ШВ/У/2577</t>
  </si>
  <si>
    <t>Маковський Павло Володимирович</t>
  </si>
  <si>
    <t>ВФЧ/ШВ/У/2578</t>
  </si>
  <si>
    <t>Зубрянський ліцей Солонківської сільської ради</t>
  </si>
  <si>
    <t>Партем Катерина Михайлівна</t>
  </si>
  <si>
    <t>Гій Анастасія Юріївна</t>
  </si>
  <si>
    <t>ВФЧ/ШВ/У/2579</t>
  </si>
  <si>
    <t>Гій Соломія Василівна</t>
  </si>
  <si>
    <t>ВФЧ/ШВ/У/2580</t>
  </si>
  <si>
    <t>Дем'янів Анастасія Петрівна</t>
  </si>
  <si>
    <t>ВФЧ/ШВ/У/2581</t>
  </si>
  <si>
    <t>Коваль Юрій Васильович</t>
  </si>
  <si>
    <t>ВФЧ/ШВ/У/2582</t>
  </si>
  <si>
    <t>Кубаренко Денис Миколайович</t>
  </si>
  <si>
    <t>ВФЧ/ШВ/У/2583</t>
  </si>
  <si>
    <t>Петришак Вікторія Миколаївна</t>
  </si>
  <si>
    <t>ВФЧ/ШВ/У/2584</t>
  </si>
  <si>
    <t>Романюк Максим Дмитрович</t>
  </si>
  <si>
    <t>ВФЧ/ШВ/У/2585</t>
  </si>
  <si>
    <t>Смолій Інес Романівна</t>
  </si>
  <si>
    <t>ВФЧ/ШВ/У/2586</t>
  </si>
  <si>
    <t>Шияк Наталія Василівна</t>
  </si>
  <si>
    <t>ВФЧ/ШВ/У/2587</t>
  </si>
  <si>
    <t>Якимець Тетяна Ігорівна</t>
  </si>
  <si>
    <t>ВФЧ/ШВ/У/2588</t>
  </si>
  <si>
    <t>Івахів Орест Любомирович</t>
  </si>
  <si>
    <t>ВФЧ/ШВ/У/2589</t>
  </si>
  <si>
    <t>Ткачук Максим Русланович</t>
  </si>
  <si>
    <t>ВФЧ/ШВ/У/2590</t>
  </si>
  <si>
    <t>Андріїїв Денис Миколайович</t>
  </si>
  <si>
    <t>ВФЧ/ШВ/У/2591</t>
  </si>
  <si>
    <t>Білевич Андрій Ігорович</t>
  </si>
  <si>
    <t>ВФЧ/ШВ/У/2592</t>
  </si>
  <si>
    <t>Гайдамащук Віра Романівна</t>
  </si>
  <si>
    <t>ВФЧ/ШВ/У/2593</t>
  </si>
  <si>
    <t>Гачок Анастасія Василівна</t>
  </si>
  <si>
    <t>ВФЧ/ШВ/У/2594</t>
  </si>
  <si>
    <t>Завалій Орест Богданович</t>
  </si>
  <si>
    <t>ВФЧ/ШВ/У/2595</t>
  </si>
  <si>
    <t>Ігнатенкова Анастасія Костянтинівна</t>
  </si>
  <si>
    <t>ВФЧ/ШВ/У/2596</t>
  </si>
  <si>
    <t>Клиш Ірина Михайлівна</t>
  </si>
  <si>
    <t>ВФЧ/ШВ/У/2597</t>
  </si>
  <si>
    <t>Комарницький Андрій Володимирович</t>
  </si>
  <si>
    <t>ВФЧ/ШВ/У/2598</t>
  </si>
  <si>
    <t>Почигайло Софія Миколаївна</t>
  </si>
  <si>
    <t>ВФЧ/ШВ/У/2599</t>
  </si>
  <si>
    <t>Стецик Святослав Назарович</t>
  </si>
  <si>
    <t>ВФЧ/ШВ/У/2600</t>
  </si>
  <si>
    <t>Федина Василина Григорівна</t>
  </si>
  <si>
    <t>ВФЧ/ШВ/У/2601</t>
  </si>
  <si>
    <t>Чмир Анна-Марія Ігорівна</t>
  </si>
  <si>
    <t>ВФЧ/ШВ/У/2602</t>
  </si>
  <si>
    <t>Середня загальноосвітня школа №1 м. Львова</t>
  </si>
  <si>
    <t>Перечепа Наталя Василівна</t>
  </si>
  <si>
    <t>Железняк Тетяна</t>
  </si>
  <si>
    <t>ВФЧ/ШВ/У/2603</t>
  </si>
  <si>
    <t>Кушнір Анастасія</t>
  </si>
  <si>
    <t>ВФЧ/ШВ/У/2604</t>
  </si>
  <si>
    <t>Карван Соломія</t>
  </si>
  <si>
    <t>ВФЧ/ШВ/У/2605</t>
  </si>
  <si>
    <t>Радзівон Давид</t>
  </si>
  <si>
    <t>ВФЧ/ШВ/У/2606</t>
  </si>
  <si>
    <t>Шелепінська Соломія</t>
  </si>
  <si>
    <t>ВФЧ/ШВ/У/2607</t>
  </si>
  <si>
    <t>Федорко Олеся</t>
  </si>
  <si>
    <t>ВФЧ/ШВ/У/2608</t>
  </si>
  <si>
    <t>Василишин Вікторія</t>
  </si>
  <si>
    <t>ВФЧ/ШВ/У/2609</t>
  </si>
  <si>
    <t>Бойко Вікторія</t>
  </si>
  <si>
    <t>ВФЧ/ШВ/У/2610</t>
  </si>
  <si>
    <t>Лисак Ірина</t>
  </si>
  <si>
    <t>ВФЧ/ШВ/У/2611</t>
  </si>
  <si>
    <t>Коваль Катерина</t>
  </si>
  <si>
    <t>ВФЧ/ШВ/У/2612</t>
  </si>
  <si>
    <t>Оверко Анна</t>
  </si>
  <si>
    <t>ВФЧ/ШВ/У/2613</t>
  </si>
  <si>
    <t>Семків Христина</t>
  </si>
  <si>
    <t>ВФЧ/ШВ/У/2614</t>
  </si>
  <si>
    <t>Заболотцівський опорний заклад загальної середньої освіти І-ІІІ ступенів Заболотцівської сільської ради Золочівського району Львівської області</t>
  </si>
  <si>
    <t>Стрехалдюк Марія Іванівна</t>
  </si>
  <si>
    <t>Бобик Мирон Миронович</t>
  </si>
  <si>
    <t>ВФЧ/ШВ/У/2615</t>
  </si>
  <si>
    <t>Двигайло Аліна Андріївна</t>
  </si>
  <si>
    <t>ВФЧ/ШВ/У/2616</t>
  </si>
  <si>
    <t>Мультан Марта Назарівна</t>
  </si>
  <si>
    <t>ВФЧ/ШВ/У/2617</t>
  </si>
  <si>
    <t>Петрик Анна Михайлівна</t>
  </si>
  <si>
    <t>ВФЧ/ШВ/У/2618</t>
  </si>
  <si>
    <t>Королик Вікторія Михайлівна</t>
  </si>
  <si>
    <t>ВФЧ/ШВ/У/2619</t>
  </si>
  <si>
    <t>Король Олег Віталійович</t>
  </si>
  <si>
    <t>ВФЧ/ШВ/У/2620</t>
  </si>
  <si>
    <t>Маринівський ліцей "Лідер"Доманівської селищної ради</t>
  </si>
  <si>
    <t xml:space="preserve">Гевич Катерина Миколаївна </t>
  </si>
  <si>
    <t>Козловська Анна Михайлівна</t>
  </si>
  <si>
    <t>ВФЧ/ШВ/У/2621</t>
  </si>
  <si>
    <t>Рибченко Микола Олександрович</t>
  </si>
  <si>
    <t>ВФЧ/ШВ/У/2622</t>
  </si>
  <si>
    <t>Невмержицький Дмитро Степанович</t>
  </si>
  <si>
    <t>ВФЧ/ШВ/У/2623</t>
  </si>
  <si>
    <t>Черниш Віктор Сергійович</t>
  </si>
  <si>
    <t>ВФЧ/ШВ/У/2624</t>
  </si>
  <si>
    <t>Бурдейний Руслан Олександрович</t>
  </si>
  <si>
    <t>ВФЧ/ШВ/У/2625</t>
  </si>
  <si>
    <t>Мостівський ліцей Мостівської сільської ради Вознесенського району</t>
  </si>
  <si>
    <t>Онищак Вікторія Семенівна</t>
  </si>
  <si>
    <t>Коваленко Каріна</t>
  </si>
  <si>
    <t>ВФЧ/ШВ/У/2626</t>
  </si>
  <si>
    <t>Ляшевич Богдан</t>
  </si>
  <si>
    <t>ВФЧ/ШВ/У/2627</t>
  </si>
  <si>
    <t>Юхненко Андрій</t>
  </si>
  <si>
    <t>ВФЧ/ШВ/У/2628</t>
  </si>
  <si>
    <t>Назаренко Микола</t>
  </si>
  <si>
    <t>ВФЧ/ШВ/У/2629</t>
  </si>
  <si>
    <t>Лучко Христина</t>
  </si>
  <si>
    <t>ВФЧ/ШВ/У/2630</t>
  </si>
  <si>
    <t>Закорецький Денис</t>
  </si>
  <si>
    <t>ВФЧ/ШВ/У/2631</t>
  </si>
  <si>
    <t>Тінку Денис</t>
  </si>
  <si>
    <t>ВФЧ/ШВ/У/2632</t>
  </si>
  <si>
    <t>Теслін Олександр</t>
  </si>
  <si>
    <t>ВФЧ/ШВ/У/2633</t>
  </si>
  <si>
    <t>Печенник Іван</t>
  </si>
  <si>
    <t>ВФЧ/ШВ/У/2634</t>
  </si>
  <si>
    <t>Галагута Кароліна</t>
  </si>
  <si>
    <t>ВФЧ/ШВ/У/2635</t>
  </si>
  <si>
    <t>Федоров Єгор</t>
  </si>
  <si>
    <t>ВФЧ/ШВ/У/2636</t>
  </si>
  <si>
    <t>Черноморський ліцей 4 Чорноморської міської ради Одеського району Одеської області</t>
  </si>
  <si>
    <t>Алєксєєнко Ольга Володимирівна</t>
  </si>
  <si>
    <t>Дибач Яна Василівна</t>
  </si>
  <si>
    <t>ВФЧ/ШВ/У/2637</t>
  </si>
  <si>
    <t>Снігур Влад Максимович</t>
  </si>
  <si>
    <t>ВФЧ/ШВ/У/2638</t>
  </si>
  <si>
    <t>Пахоменко Владислав Вадимович</t>
  </si>
  <si>
    <t>ВФЧ/ШВ/У/2639</t>
  </si>
  <si>
    <t>Кроплес Максим Павлович</t>
  </si>
  <si>
    <t>ВФЧ/ШВ/У/2640</t>
  </si>
  <si>
    <t>Поздняков Максим Сергійович</t>
  </si>
  <si>
    <t>ВФЧ/ШВ/У/2641</t>
  </si>
  <si>
    <t>Лисиченко Даниїл Володимирович</t>
  </si>
  <si>
    <t>ВФЧ/ШВ/У/2642</t>
  </si>
  <si>
    <t>Урсол Марія Олегівна</t>
  </si>
  <si>
    <t>ВФЧ/ШВ/У/2643</t>
  </si>
  <si>
    <t>Смірнова Аріна Валентинівна</t>
  </si>
  <si>
    <t>ВФЧ/ШВ/У/2644</t>
  </si>
  <si>
    <t>Козачук Дарья Антонівна</t>
  </si>
  <si>
    <t>ВФЧ/ШВ/У/2645</t>
  </si>
  <si>
    <t>Поляков Кирило Сергійович</t>
  </si>
  <si>
    <t>ВФЧ/ШВ/У/2646</t>
  </si>
  <si>
    <t>Ладан Олександра Юріївна</t>
  </si>
  <si>
    <t>ВФЧ/ШВ/У/2647</t>
  </si>
  <si>
    <t>Артюшеня Ліза Олександрівна</t>
  </si>
  <si>
    <t>ВФЧ/ШВ/У/2648</t>
  </si>
  <si>
    <t>Довгорук Софія Юріївна</t>
  </si>
  <si>
    <t>ВФЧ/ШВ/У/2649</t>
  </si>
  <si>
    <t>Золоторьова Аліна Володимирівна</t>
  </si>
  <si>
    <t>ВФЧ/ШВ/У/2650</t>
  </si>
  <si>
    <t>Шаманська Катерина Володимирівна</t>
  </si>
  <si>
    <t>ВФЧ/ШВ/У/2651</t>
  </si>
  <si>
    <t>Харчук Анастасія</t>
  </si>
  <si>
    <t>ВФЧ/ШВ/У/2652</t>
  </si>
  <si>
    <t>Стрельчук Анна Олександрівна</t>
  </si>
  <si>
    <t>ВФЧ/ШВ/У/2653</t>
  </si>
  <si>
    <t>Кузнецова Анастасія Олексіївна</t>
  </si>
  <si>
    <t>ВФЧ/ШВ/У/2654</t>
  </si>
  <si>
    <t>Почтарук Дмитро Олександрович</t>
  </si>
  <si>
    <t>ВФЧ/ШВ/У/2655</t>
  </si>
  <si>
    <t>Данилюк Дмитро Юрійович</t>
  </si>
  <si>
    <t>ВФЧ/ШВ/У/2656</t>
  </si>
  <si>
    <t>Нєзнакомова Єлизавета Миколаївна</t>
  </si>
  <si>
    <t>ВФЧ/ШВ/У/2657</t>
  </si>
  <si>
    <t xml:space="preserve">Одеський ліцей № 62 Одеської міської ради		</t>
  </si>
  <si>
    <t>Бабій Анна Ігорівна</t>
  </si>
  <si>
    <t>Волошин Дмитро Олексійович</t>
  </si>
  <si>
    <t>ВФЧ/ШВ/У/2658</t>
  </si>
  <si>
    <t>Глухова Олександра Дмитрівна</t>
  </si>
  <si>
    <t>ВФЧ/ШВ/У/2659</t>
  </si>
  <si>
    <t>Грицьков Іван Олександрович</t>
  </si>
  <si>
    <t>ВФЧ/ШВ/У/2660</t>
  </si>
  <si>
    <t>Дворецька Олександра Вадимівна</t>
  </si>
  <si>
    <t>ВФЧ/ШВ/У/2661</t>
  </si>
  <si>
    <t>Дурнєв Володимир Вікторович</t>
  </si>
  <si>
    <t>ВФЧ/ШВ/У/2662</t>
  </si>
  <si>
    <t>Мещеряков Іван Дмитрович</t>
  </si>
  <si>
    <t>ВФЧ/ШВ/У/2663</t>
  </si>
  <si>
    <t>Полянчук Анна Дмитрівна</t>
  </si>
  <si>
    <t>ВФЧ/ШВ/У/2664</t>
  </si>
  <si>
    <t>Садченко Ладомира Андріївна</t>
  </si>
  <si>
    <t>ВФЧ/ШВ/У/2665</t>
  </si>
  <si>
    <t>Сідорова Альбіна Андріївна</t>
  </si>
  <si>
    <t>ВФЧ/ШВ/У/2666</t>
  </si>
  <si>
    <t>Тригуба  Мирослава Миколаївна</t>
  </si>
  <si>
    <t>ВФЧ/ШВ/У/2667</t>
  </si>
  <si>
    <t>Хінно Фессаль Махмуд</t>
  </si>
  <si>
    <t>ВФЧ/ШВ/У/2668</t>
  </si>
  <si>
    <t>Шевченко Софія Максимівна</t>
  </si>
  <si>
    <t>ВФЧ/ШВ/У/2669</t>
  </si>
  <si>
    <t>Шимко Іван Ігорович</t>
  </si>
  <si>
    <t>ВФЧ/ШВ/У/2670</t>
  </si>
  <si>
    <t>Одеський ліцей №13</t>
  </si>
  <si>
    <t>Бедікян Надія Іванівна</t>
  </si>
  <si>
    <t>Журенок Роман Сергійович</t>
  </si>
  <si>
    <t>ВФЧ/ШВ/У/2671</t>
  </si>
  <si>
    <t>Ігнат Олександр Вячеславович</t>
  </si>
  <si>
    <t>ВФЧ/ШВ/У/2672</t>
  </si>
  <si>
    <t>Кирилова Олена Олександрівна</t>
  </si>
  <si>
    <t>ВФЧ/ШВ/У/2673</t>
  </si>
  <si>
    <t>Кіосе Вадим Максимович</t>
  </si>
  <si>
    <t>ВФЧ/ШВ/У/2674</t>
  </si>
  <si>
    <t>Комарова Анна Дмитрівна</t>
  </si>
  <si>
    <t>ВФЧ/ШВ/У/2675</t>
  </si>
  <si>
    <t>Коробко Вероніка Юріївна</t>
  </si>
  <si>
    <t>ВФЧ/ШВ/У/2676</t>
  </si>
  <si>
    <t>Ліпецька Катерина Олексіївна</t>
  </si>
  <si>
    <t>ВФЧ/ШВ/У/2677</t>
  </si>
  <si>
    <t>Мазур Артем Олександрович</t>
  </si>
  <si>
    <t>ВФЧ/ШВ/У/2678</t>
  </si>
  <si>
    <t>Ніколенко Катерина Анатоліївна</t>
  </si>
  <si>
    <t>ВФЧ/ШВ/У/2679</t>
  </si>
  <si>
    <t>Палагін Артем Андрійович</t>
  </si>
  <si>
    <t>ВФЧ/ШВ/У/2680</t>
  </si>
  <si>
    <t>Рябощук Даніїл Олександрович</t>
  </si>
  <si>
    <t>ВФЧ/ШВ/У/2681</t>
  </si>
  <si>
    <t>Одеський ліцей №17</t>
  </si>
  <si>
    <t>Васильєва Наталія Володимирівна</t>
  </si>
  <si>
    <t>Задворних Аміна Михайлівна</t>
  </si>
  <si>
    <t>ВФЧ/ШВ/У/2682</t>
  </si>
  <si>
    <t>Кобзар Валерій Станіславович</t>
  </si>
  <si>
    <t>ВФЧ/ШВ/У/2683</t>
  </si>
  <si>
    <t>Лезкано Софія Ярославівна</t>
  </si>
  <si>
    <t>ВФЧ/ШВ/У/2684</t>
  </si>
  <si>
    <t>Вайсман Софія Олегівна</t>
  </si>
  <si>
    <t>ВФЧ/ШВ/У/2685</t>
  </si>
  <si>
    <t>Рацький Тимур Русланович</t>
  </si>
  <si>
    <t>ВФЧ/ШВ/У/2686</t>
  </si>
  <si>
    <t>Скрипка Микола Вікторович</t>
  </si>
  <si>
    <t>ВФЧ/ШВ/У/2687</t>
  </si>
  <si>
    <t>ОДЕСЬКИЙ ЛІЦЕЙ №28</t>
  </si>
  <si>
    <t>Веліченко Дмитро Святославович</t>
  </si>
  <si>
    <t>Георгієв Даніїл Вікторович</t>
  </si>
  <si>
    <t>ВФЧ/ШВ/У/2688</t>
  </si>
  <si>
    <t>Єрємєєв Нікіта Леонідович</t>
  </si>
  <si>
    <t>ВФЧ/ШВ/У/2689</t>
  </si>
  <si>
    <t>Мітакі Анастасія Григорівна</t>
  </si>
  <si>
    <t>ВФЧ/ШВ/У/2690</t>
  </si>
  <si>
    <t>Орлова Дар'я Євгеніївна</t>
  </si>
  <si>
    <t>ВФЧ/ШВ/У/2691</t>
  </si>
  <si>
    <t>Отченаш Віктор Сергійович</t>
  </si>
  <si>
    <t>ВФЧ/ШВ/У/2692</t>
  </si>
  <si>
    <t>Разітдінова Рената Равілівна</t>
  </si>
  <si>
    <t>ВФЧ/ШВ/У/2693</t>
  </si>
  <si>
    <t>Райлян Ольга Сергіівна</t>
  </si>
  <si>
    <t>ВФЧ/ШВ/У/2694</t>
  </si>
  <si>
    <t>Роборчук Матвій Андрійович</t>
  </si>
  <si>
    <t>ВФЧ/ШВ/У/2695</t>
  </si>
  <si>
    <t>Салій Надія Андрівна</t>
  </si>
  <si>
    <t>ВФЧ/ШВ/У/2696</t>
  </si>
  <si>
    <t>Сич Владіслав Васильович</t>
  </si>
  <si>
    <t>ВФЧ/ШВ/У/2697</t>
  </si>
  <si>
    <t>Сівулько Уляна Юріївна</t>
  </si>
  <si>
    <t>ВФЧ/ШВ/У/2698</t>
  </si>
  <si>
    <t>Станєв Ростислав Віталійович</t>
  </si>
  <si>
    <t>ВФЧ/ШВ/У/2699</t>
  </si>
  <si>
    <t>Стеценко Вікторія Олегівна</t>
  </si>
  <si>
    <t>ВФЧ/ШВ/У/2700</t>
  </si>
  <si>
    <t>Чемеріс Тимофій Артурович</t>
  </si>
  <si>
    <t>ВФЧ/ШВ/У/2701</t>
  </si>
  <si>
    <t>Богатирьов Павло Миколайович</t>
  </si>
  <si>
    <t>ВФЧ/ШВ/У/2702</t>
  </si>
  <si>
    <t>Божко Кароліна Андріївна</t>
  </si>
  <si>
    <t>ВФЧ/ШВ/У/2703</t>
  </si>
  <si>
    <t>Дмитриченко Валерія Віталіївна</t>
  </si>
  <si>
    <t>ВФЧ/ШВ/У/2704</t>
  </si>
  <si>
    <t>Іщенко Анастасія Вадимівна</t>
  </si>
  <si>
    <t>ВФЧ/ШВ/У/2705</t>
  </si>
  <si>
    <t>Ляшенко Ігор Ігорович</t>
  </si>
  <si>
    <t>ВФЧ/ШВ/У/2706</t>
  </si>
  <si>
    <t>Мащенко Олександра Олександрівна</t>
  </si>
  <si>
    <t>ВФЧ/ШВ/У/2707</t>
  </si>
  <si>
    <t>Паладій Іван Михайлович</t>
  </si>
  <si>
    <t>ВФЧ/ШВ/У/2708</t>
  </si>
  <si>
    <t>Попозогло Андрій Миколайович</t>
  </si>
  <si>
    <t>ВФЧ/ШВ/У/2709</t>
  </si>
  <si>
    <t>Тарасенко Костянтин Олексійович</t>
  </si>
  <si>
    <t>ВФЧ/ШВ/У/2710</t>
  </si>
  <si>
    <t>Чубук Вікторія Євгенівна</t>
  </si>
  <si>
    <t>ВФЧ/ШВ/У/2711</t>
  </si>
  <si>
    <t>Бєлєнька Талі Єва Михайлівна</t>
  </si>
  <si>
    <t>ВФЧ/ШВ/У/2712</t>
  </si>
  <si>
    <t>Верещагіна Анна Євгенівна</t>
  </si>
  <si>
    <t>ВФЧ/ШВ/У/2713</t>
  </si>
  <si>
    <t>Гассій Ганна Сергіівна</t>
  </si>
  <si>
    <t>ВФЧ/ШВ/У/2714</t>
  </si>
  <si>
    <t>Генчев Афанасій Русланович</t>
  </si>
  <si>
    <t>ВФЧ/ШВ/У/2715</t>
  </si>
  <si>
    <t>Дашкова Марія Віталіївна</t>
  </si>
  <si>
    <t>ВФЧ/ШВ/У/2716</t>
  </si>
  <si>
    <t>Кутя Святослав Ігорович</t>
  </si>
  <si>
    <t>ВФЧ/ШВ/У/2717</t>
  </si>
  <si>
    <t>Лопатюк Анастасія Вадимівна</t>
  </si>
  <si>
    <t>ВФЧ/ШВ/У/2718</t>
  </si>
  <si>
    <t>Міндова Маргарита Іванівна</t>
  </si>
  <si>
    <t>ВФЧ/ШВ/У/2719</t>
  </si>
  <si>
    <t>Мошул Вікторія Олександрівна</t>
  </si>
  <si>
    <t>ВФЧ/ШВ/У/2720</t>
  </si>
  <si>
    <t>Ніколаєв Артем Іванович</t>
  </si>
  <si>
    <t>ВФЧ/ШВ/У/2721</t>
  </si>
  <si>
    <t>Покровський Радіон Олександрович</t>
  </si>
  <si>
    <t>ВФЧ/ШВ/У/2722</t>
  </si>
  <si>
    <t>Псарьов Тимур Михайлович</t>
  </si>
  <si>
    <t>ВФЧ/ШВ/У/2723</t>
  </si>
  <si>
    <t>Расходчикова Кіра Юріївна</t>
  </si>
  <si>
    <t>ВФЧ/ШВ/У/2724</t>
  </si>
  <si>
    <t>Чабан Юлія Володимирівна</t>
  </si>
  <si>
    <t>ВФЧ/ШВ/У/2725</t>
  </si>
  <si>
    <t>Чеклецова Кіра Юріївна</t>
  </si>
  <si>
    <t>ВФЧ/ШВ/У/2726</t>
  </si>
  <si>
    <t>Чирка Михайло Володимирович</t>
  </si>
  <si>
    <t>ВФЧ/ШВ/У/2727</t>
  </si>
  <si>
    <t>Юраш Ольга Віталіївна</t>
  </si>
  <si>
    <t>ВФЧ/ШВ/У/2728</t>
  </si>
  <si>
    <t>Бацевич Альона Владиславівна</t>
  </si>
  <si>
    <t>ВФЧ/ШВ/У/2729</t>
  </si>
  <si>
    <t>Димов Михайло Іванович</t>
  </si>
  <si>
    <t>ВФЧ/ШВ/У/2730</t>
  </si>
  <si>
    <t>Зіньковська Патріссія Анастасія Олександрівна</t>
  </si>
  <si>
    <t>ВФЧ/ШВ/У/2731</t>
  </si>
  <si>
    <t>Кіртоаке Крістіна Ліліанівна</t>
  </si>
  <si>
    <t>ВФЧ/ШВ/У/2732</t>
  </si>
  <si>
    <t>Кіртоаке Тетяна Ліліанівна</t>
  </si>
  <si>
    <t>ВФЧ/ШВ/У/2733</t>
  </si>
  <si>
    <t>Ковальчук Валерія Юріївна</t>
  </si>
  <si>
    <t>ВФЧ/ШВ/У/2734</t>
  </si>
  <si>
    <t>Кушнір Станіслав Володимирович</t>
  </si>
  <si>
    <t>ВФЧ/ШВ/У/2735</t>
  </si>
  <si>
    <t>Лимаренко Геннадій Сергійович</t>
  </si>
  <si>
    <t>ВФЧ/ШВ/У/2736</t>
  </si>
  <si>
    <t>Лісова Марія Віталіївна</t>
  </si>
  <si>
    <t>ВФЧ/ШВ/У/2737</t>
  </si>
  <si>
    <t>Попова Дар'я Сергіївна</t>
  </si>
  <si>
    <t>ВФЧ/ШВ/У/2738</t>
  </si>
  <si>
    <t>Поремська Софія Віталіївна</t>
  </si>
  <si>
    <t>ВФЧ/ШВ/У/2739</t>
  </si>
  <si>
    <t>Приходько Ганна Сергіївна</t>
  </si>
  <si>
    <t>ВФЧ/ШВ/У/2740</t>
  </si>
  <si>
    <t>Радченя Андрій Олексійович</t>
  </si>
  <si>
    <t>ВФЧ/ШВ/У/2741</t>
  </si>
  <si>
    <t>Реньгач Дарія Олександрівна</t>
  </si>
  <si>
    <t>ВФЧ/ШВ/У/2742</t>
  </si>
  <si>
    <t>Скридоненко Артьом Володимирович</t>
  </si>
  <si>
    <t>ВФЧ/ШВ/У/2743</t>
  </si>
  <si>
    <t>Чемиртан Єлизавета Іванівна</t>
  </si>
  <si>
    <t>ВФЧ/ШВ/У/2744</t>
  </si>
  <si>
    <t>Янавічус Нікіта Андрійович</t>
  </si>
  <si>
    <t>ВФЧ/ШВ/У/2745</t>
  </si>
  <si>
    <t>Яцюк Валерія Андріївна</t>
  </si>
  <si>
    <t>ВФЧ/ШВ/У/2746</t>
  </si>
  <si>
    <t>Ліцей "Лідер" м.Білгорода-Дністровського</t>
  </si>
  <si>
    <t>Гайнулліна Олена Миколаївна</t>
  </si>
  <si>
    <t>Арестов Микола</t>
  </si>
  <si>
    <t>ВФЧ/ШВ/У/2747</t>
  </si>
  <si>
    <t>Бабаєв Кирил</t>
  </si>
  <si>
    <t>ВФЧ/ШВ/У/2748</t>
  </si>
  <si>
    <t>Вакаренко Даніїл</t>
  </si>
  <si>
    <t>ВФЧ/ШВ/У/2749</t>
  </si>
  <si>
    <t>Вишнякова Каміла</t>
  </si>
  <si>
    <t>ВФЧ/ШВ/У/2750</t>
  </si>
  <si>
    <t>Гільдибаев Денис</t>
  </si>
  <si>
    <t>ВФЧ/ШВ/У/2751</t>
  </si>
  <si>
    <t>Гукасян Орина</t>
  </si>
  <si>
    <t>ВФЧ/ШВ/У/2752</t>
  </si>
  <si>
    <t>Дерменжі Вікторія</t>
  </si>
  <si>
    <t>ВФЧ/ШВ/У/2753</t>
  </si>
  <si>
    <t>Домброван Катерина</t>
  </si>
  <si>
    <t>ВФЧ/ШВ/У/2754</t>
  </si>
  <si>
    <t>Драпкін Олександр</t>
  </si>
  <si>
    <t>ВФЧ/ШВ/У/2755</t>
  </si>
  <si>
    <t>Завгородня Ольга</t>
  </si>
  <si>
    <t>ВФЧ/ШВ/У/2756</t>
  </si>
  <si>
    <t>Іваненко Андрій</t>
  </si>
  <si>
    <t>ВФЧ/ШВ/У/2757</t>
  </si>
  <si>
    <t>Келембет Катерина</t>
  </si>
  <si>
    <t>ВФЧ/ШВ/У/2758</t>
  </si>
  <si>
    <t>Кожухар Вікторія</t>
  </si>
  <si>
    <t>ВФЧ/ШВ/У/2759</t>
  </si>
  <si>
    <t>Корнілов Михайло</t>
  </si>
  <si>
    <t>ВФЧ/ШВ/У/2760</t>
  </si>
  <si>
    <t>Лісовський Михайло</t>
  </si>
  <si>
    <t>ВФЧ/ШВ/У/2761</t>
  </si>
  <si>
    <t>Марушевський Назар</t>
  </si>
  <si>
    <t>ВФЧ/ШВ/У/2762</t>
  </si>
  <si>
    <t>Мещеряков Олег</t>
  </si>
  <si>
    <t>ВФЧ/ШВ/У/2763</t>
  </si>
  <si>
    <t>Мухо Софія</t>
  </si>
  <si>
    <t>ВФЧ/ШВ/У/2764</t>
  </si>
  <si>
    <t>Пєткова Юлія</t>
  </si>
  <si>
    <t>ВФЧ/ШВ/У/2765</t>
  </si>
  <si>
    <t>Пігінко Костянтин</t>
  </si>
  <si>
    <t>ВФЧ/ШВ/У/2766</t>
  </si>
  <si>
    <t>Римський Марк</t>
  </si>
  <si>
    <t>ВФЧ/ШВ/У/2767</t>
  </si>
  <si>
    <t>Сакович Микола</t>
  </si>
  <si>
    <t>ВФЧ/ШВ/У/2768</t>
  </si>
  <si>
    <t>Самокиш Данило</t>
  </si>
  <si>
    <t>ВФЧ/ШВ/У/2769</t>
  </si>
  <si>
    <t>Тарасенко Максим</t>
  </si>
  <si>
    <t>ВФЧ/ШВ/У/2770</t>
  </si>
  <si>
    <t>Тарута Дарья</t>
  </si>
  <si>
    <t>ВФЧ/ШВ/У/2771</t>
  </si>
  <si>
    <t>Тєр Євгеній</t>
  </si>
  <si>
    <t>ВФЧ/ШВ/У/2772</t>
  </si>
  <si>
    <t>Хільченко Сава</t>
  </si>
  <si>
    <t>ВФЧ/ШВ/У/2773</t>
  </si>
  <si>
    <t>Хохлова Вероніка</t>
  </si>
  <si>
    <t>ВФЧ/ШВ/У/2774</t>
  </si>
  <si>
    <t>Шишин Дмитро</t>
  </si>
  <si>
    <t>ВФЧ/ШВ/У/2775</t>
  </si>
  <si>
    <t>Білянчева Мірослава</t>
  </si>
  <si>
    <t>ВФЧ/ШВ/У/2776</t>
  </si>
  <si>
    <t>Богутенко Дмитро</t>
  </si>
  <si>
    <t>ВФЧ/ШВ/У/2777</t>
  </si>
  <si>
    <t>Дюдюн Анна</t>
  </si>
  <si>
    <t>ВФЧ/ШВ/У/2778</t>
  </si>
  <si>
    <t>Ставров Леонід</t>
  </si>
  <si>
    <t>ВФЧ/ШВ/У/2779</t>
  </si>
  <si>
    <t>Томченко Валерія</t>
  </si>
  <si>
    <t>ВФЧ/ШВ/У/2780</t>
  </si>
  <si>
    <t>Ісак В"ячеслав</t>
  </si>
  <si>
    <t>ВФЧ/ШВ/У/2781</t>
  </si>
  <si>
    <t>Білоусов Дмитро</t>
  </si>
  <si>
    <t>ВФЧ/ШВ/У/2782</t>
  </si>
  <si>
    <t>Богданова Лілія</t>
  </si>
  <si>
    <t>ВФЧ/ШВ/У/2783</t>
  </si>
  <si>
    <t>Дарій Євгеній</t>
  </si>
  <si>
    <t>ВФЧ/ШВ/У/2784</t>
  </si>
  <si>
    <t>Іщенко Світлана</t>
  </si>
  <si>
    <t>ВФЧ/ШВ/У/2785</t>
  </si>
  <si>
    <t>Кравчик Анастасія</t>
  </si>
  <si>
    <t>ВФЧ/ШВ/У/2786</t>
  </si>
  <si>
    <t>Крюгер Габріель</t>
  </si>
  <si>
    <t>ВФЧ/ШВ/У/2787</t>
  </si>
  <si>
    <t>Огрохіна Вікторія</t>
  </si>
  <si>
    <t>ВФЧ/ШВ/У/2788</t>
  </si>
  <si>
    <t>Потапенко Микита</t>
  </si>
  <si>
    <t>ВФЧ/ШВ/У/2789</t>
  </si>
  <si>
    <t>Сосновська Валерія</t>
  </si>
  <si>
    <t>ВФЧ/ШВ/У/2790</t>
  </si>
  <si>
    <t>Швецова Даша</t>
  </si>
  <si>
    <t>ВФЧ/ШВ/У/2791</t>
  </si>
  <si>
    <t>Щербакова Ніка</t>
  </si>
  <si>
    <t>ВФЧ/ШВ/У/2792</t>
  </si>
  <si>
    <t>Одеський ліцей "Фонтанський"</t>
  </si>
  <si>
    <t>Гарчева Ірина Олександрівна</t>
  </si>
  <si>
    <t>Бойченко Вікторія Олександрівна</t>
  </si>
  <si>
    <t>ВФЧ/ШВ/У/2793</t>
  </si>
  <si>
    <t>Берліна Яна Андріївна</t>
  </si>
  <si>
    <t>ВФЧ/ШВ/У/2794</t>
  </si>
  <si>
    <t>Кілійський заклад загальної середньої освіти №1 Кілійської міської ради</t>
  </si>
  <si>
    <t>Гудима Вікторія Вікторівна</t>
  </si>
  <si>
    <t>Бабій Діана Анатоліївна</t>
  </si>
  <si>
    <t>ВФЧ/ШВ/У/2795</t>
  </si>
  <si>
    <t>Гапєєва Ольга Юріївна</t>
  </si>
  <si>
    <t>ВФЧ/ШВ/У/2796</t>
  </si>
  <si>
    <t>Ігнатенко Юлія Володимирівна</t>
  </si>
  <si>
    <t>ВФЧ/ШВ/У/2797</t>
  </si>
  <si>
    <t>Кітреску Карина Михайлівна</t>
  </si>
  <si>
    <t>ВФЧ/ШВ/У/2798</t>
  </si>
  <si>
    <t>Кюрчубаш Максим Олександрович</t>
  </si>
  <si>
    <t>ВФЧ/ШВ/У/2799</t>
  </si>
  <si>
    <t>Машенцова Дар'я Ігорівна</t>
  </si>
  <si>
    <t>ВФЧ/ШВ/У/2800</t>
  </si>
  <si>
    <t>Сипко Віра Андріївна</t>
  </si>
  <si>
    <t>ВФЧ/ШВ/У/2801</t>
  </si>
  <si>
    <t>Соловйов Михайло Геннадійович</t>
  </si>
  <si>
    <t>ВФЧ/ШВ/У/2802</t>
  </si>
  <si>
    <t>Тарнакоп Микола Володимирович</t>
  </si>
  <si>
    <t>ВФЧ/ШВ/У/2803</t>
  </si>
  <si>
    <t>Черненко Ніка Денисівна</t>
  </si>
  <si>
    <t>ВФЧ/ШВ/У/2804</t>
  </si>
  <si>
    <t>Шамрай Ніна Сергіївна</t>
  </si>
  <si>
    <t>ВФЧ/ШВ/У/2805</t>
  </si>
  <si>
    <t xml:space="preserve">ЗЗСО "Авангардівський ліцей" Авангардівської селищної ради </t>
  </si>
  <si>
    <t>Жуковська Олена Миколаївна</t>
  </si>
  <si>
    <t>Клімова Олександра Олександрівна</t>
  </si>
  <si>
    <t>ВФЧ/ШВ/У/2806</t>
  </si>
  <si>
    <t>Малєк Ідріс Абдулович</t>
  </si>
  <si>
    <t>ВФЧ/ШВ/У/2807</t>
  </si>
  <si>
    <t>Жуковський Арсеній Валентинович</t>
  </si>
  <si>
    <t>ВФЧ/ШВ/У/2808</t>
  </si>
  <si>
    <t>Кривой Артем Юрійович</t>
  </si>
  <si>
    <t>ВФЧ/ШВ/У/2809</t>
  </si>
  <si>
    <t>Сірота Артем Олексійович</t>
  </si>
  <si>
    <t>ВФЧ/ШВ/У/2810</t>
  </si>
  <si>
    <t>Гліган Іван Сергійович</t>
  </si>
  <si>
    <t>ВФЧ/ШВ/У/2811</t>
  </si>
  <si>
    <t>Серек-Басан Нікон</t>
  </si>
  <si>
    <t>ВФЧ/ШВ/У/2812</t>
  </si>
  <si>
    <t>Рязанцева Анастасія Володимирівна</t>
  </si>
  <si>
    <t>ВФЧ/ШВ/У/2813</t>
  </si>
  <si>
    <t>Сокол Ірина Андріївна</t>
  </si>
  <si>
    <t>ВФЧ/ШВ/У/2814</t>
  </si>
  <si>
    <t>Толочко Анна Владиславівна</t>
  </si>
  <si>
    <t>ВФЧ/ШВ/У/2815</t>
  </si>
  <si>
    <t>Герман Єлізавета Сергіївна</t>
  </si>
  <si>
    <t>ВФЧ/ШВ/У/2816</t>
  </si>
  <si>
    <t>Славінська Ангеліна Сергіївна</t>
  </si>
  <si>
    <t>ВФЧ/ШВ/У/2817</t>
  </si>
  <si>
    <t>Літвін Дмитро Олександрович</t>
  </si>
  <si>
    <t>ВФЧ/ШВ/У/2818</t>
  </si>
  <si>
    <t>Гліган Даніїл Сергійович</t>
  </si>
  <si>
    <t>ВФЧ/ШВ/У/2819</t>
  </si>
  <si>
    <t>Тузлівський ОЗЗСО</t>
  </si>
  <si>
    <t>Карпенко Інна Володимирівна</t>
  </si>
  <si>
    <t>Кудрявченко Максим</t>
  </si>
  <si>
    <t>ВФЧ/ШВ/У/2820</t>
  </si>
  <si>
    <t>Кутафіна Оксана</t>
  </si>
  <si>
    <t>ВФЧ/ШВ/У/2821</t>
  </si>
  <si>
    <t>Нестеренко Надія</t>
  </si>
  <si>
    <t>ВФЧ/ШВ/У/2822</t>
  </si>
  <si>
    <t>Перекопська Ірена</t>
  </si>
  <si>
    <t>ВФЧ/ШВ/У/2823</t>
  </si>
  <si>
    <t>Соловйова Ніколь</t>
  </si>
  <si>
    <t>ВФЧ/ШВ/У/2824</t>
  </si>
  <si>
    <t>Ткаченко Віолетта</t>
  </si>
  <si>
    <t>ВФЧ/ШВ/У/2825</t>
  </si>
  <si>
    <t>Шпачинський Денис</t>
  </si>
  <si>
    <t>ВФЧ/ШВ/У/2826</t>
  </si>
  <si>
    <t>Біляївський ліцей №2 Біляївської міської ради  Одеського району Одеської області</t>
  </si>
  <si>
    <t>Ковальова Олена Сергіївна</t>
  </si>
  <si>
    <t>Степаненко Маргарита Сергіївна</t>
  </si>
  <si>
    <t>ВФЧ/ШВ/У/2827</t>
  </si>
  <si>
    <t>Підмазко Анастасія</t>
  </si>
  <si>
    <t>ВФЧ/ШВ/У/2828</t>
  </si>
  <si>
    <t>Халеміна Ангеліна Віталіївна</t>
  </si>
  <si>
    <t>ВФЧ/ШВ/У/2829</t>
  </si>
  <si>
    <t>Олефір Дар'я Ігорівна</t>
  </si>
  <si>
    <t>ВФЧ/ШВ/У/2830</t>
  </si>
  <si>
    <t>Люта Анастасія</t>
  </si>
  <si>
    <t>ВФЧ/ШВ/У/2831</t>
  </si>
  <si>
    <t>Рижов Єгор Ігорович</t>
  </si>
  <si>
    <t>ВФЧ/ШВ/У/2832</t>
  </si>
  <si>
    <t>Рогачко Павло Павлович</t>
  </si>
  <si>
    <t>ВФЧ/ШВ/У/2833</t>
  </si>
  <si>
    <t>Ягніченко Іван Євгенович</t>
  </si>
  <si>
    <t>ВФЧ/ШВ/У/2834</t>
  </si>
  <si>
    <t>Супрун Ірина Андріївна</t>
  </si>
  <si>
    <t>ВФЧ/ШВ/У/2835</t>
  </si>
  <si>
    <t>Мельник Олександр</t>
  </si>
  <si>
    <t>ВФЧ/ШВ/У/2836</t>
  </si>
  <si>
    <t>Ябс Євгенія</t>
  </si>
  <si>
    <t>ВФЧ/ШВ/У/2837</t>
  </si>
  <si>
    <t>Тертишнікова Ольга Андріївна</t>
  </si>
  <si>
    <t>ВФЧ/ШВ/У/2838</t>
  </si>
  <si>
    <t>Шкарбан Ксенія</t>
  </si>
  <si>
    <t>ВФЧ/ШВ/У/2839</t>
  </si>
  <si>
    <t>Ратніков Ілля</t>
  </si>
  <si>
    <t>ВФЧ/ШВ/У/2840</t>
  </si>
  <si>
    <t>Прокопчук Олександр</t>
  </si>
  <si>
    <t>ВФЧ/ШВ/У/2841</t>
  </si>
  <si>
    <t>Тельпіс Соф'я Геннадіївна</t>
  </si>
  <si>
    <t>ВФЧ/ШВ/У/2842</t>
  </si>
  <si>
    <t>Старжинський Артем Сергійович</t>
  </si>
  <si>
    <t>ВФЧ/ШВ/У/2843</t>
  </si>
  <si>
    <t>Тарасенко Софія Максимівна</t>
  </si>
  <si>
    <t>ВФЧ/ШВ/У/2844</t>
  </si>
  <si>
    <t>Стовман Олена Олександрівна</t>
  </si>
  <si>
    <t>ВФЧ/ШВ/У/2845</t>
  </si>
  <si>
    <t>Слюсаренко Тетяна Юріївна</t>
  </si>
  <si>
    <t>ВФЧ/ШВ/У/2846</t>
  </si>
  <si>
    <t>Міжнародна академічна школа Одеса</t>
  </si>
  <si>
    <t>Козак Ганна Олександрівна</t>
  </si>
  <si>
    <t>Колмогорцев Олег Сергійович</t>
  </si>
  <si>
    <t>ВФЧ/ШВ/У/2847</t>
  </si>
  <si>
    <t>Бородюк Ніколь Миколаївну</t>
  </si>
  <si>
    <t>ВФЧ/ШВ/У/2848</t>
  </si>
  <si>
    <t>Кучеров Іван Дмитрович</t>
  </si>
  <si>
    <t>ВФЧ/ШВ/У/2849</t>
  </si>
  <si>
    <t>Лукашова Каріна Андріївна</t>
  </si>
  <si>
    <t>ВФЧ/ШВ/У/2850</t>
  </si>
  <si>
    <t>Максименко Рената Володимирівна</t>
  </si>
  <si>
    <t>ВФЧ/ШВ/У/2851</t>
  </si>
  <si>
    <t>Статі Софія Олексіївна</t>
  </si>
  <si>
    <t>ВФЧ/ШВ/У/2852</t>
  </si>
  <si>
    <t>Халлуф Муганнед</t>
  </si>
  <si>
    <t>ВФЧ/ШВ/У/2853</t>
  </si>
  <si>
    <t>Городинська Дар'я Дмитрівна</t>
  </si>
  <si>
    <t>ВФЧ/ШВ/У/2854</t>
  </si>
  <si>
    <t>Джабурія Володимир Олександрович</t>
  </si>
  <si>
    <t>ВФЧ/ШВ/У/2855</t>
  </si>
  <si>
    <t>Іванов Єгор Олександрович</t>
  </si>
  <si>
    <t>ВФЧ/ШВ/У/2856</t>
  </si>
  <si>
    <t>Казакова Єва Євгенівна</t>
  </si>
  <si>
    <t>ВФЧ/ШВ/У/2857</t>
  </si>
  <si>
    <t>Капсамун Кароліна Олегівна</t>
  </si>
  <si>
    <t>ВФЧ/ШВ/У/2858</t>
  </si>
  <si>
    <t>Качуренко Поліна Василівна</t>
  </si>
  <si>
    <t>ВФЧ/ШВ/У/2859</t>
  </si>
  <si>
    <t>Кожухаренко Єлизавета Вікторівна</t>
  </si>
  <si>
    <t>ВФЧ/ШВ/У/2860</t>
  </si>
  <si>
    <t>Куркан Дарія Миколаївна</t>
  </si>
  <si>
    <t>ВФЧ/ШВ/У/2861</t>
  </si>
  <si>
    <t>Ляшенко Софія Костянтинівна</t>
  </si>
  <si>
    <t>ВФЧ/ШВ/У/2862</t>
  </si>
  <si>
    <t>Майко Марія Павлівна</t>
  </si>
  <si>
    <t>ВФЧ/ШВ/У/2863</t>
  </si>
  <si>
    <t>Михасько Марина Ігорівна</t>
  </si>
  <si>
    <t>ВФЧ/ШВ/У/2864</t>
  </si>
  <si>
    <t>Паламарчук Дмитро Володимирович</t>
  </si>
  <si>
    <t>ВФЧ/ШВ/У/2865</t>
  </si>
  <si>
    <t>Пекар Ксенія В'ячеславівна</t>
  </si>
  <si>
    <t>ВФЧ/ШВ/У/2866</t>
  </si>
  <si>
    <t>Фурман Сергей Дмитрович</t>
  </si>
  <si>
    <t>ВФЧ/ШВ/У/2867</t>
  </si>
  <si>
    <t>Теплодарський ліцей імені О.П. Медведкова</t>
  </si>
  <si>
    <t>Кургуз-Ставратій Марія Віталіївна</t>
  </si>
  <si>
    <t>Руденко Ксенія Олександрівна</t>
  </si>
  <si>
    <t>ВФЧ/ШВ/У/2868</t>
  </si>
  <si>
    <t>Іванова Ксенія Євгенівна</t>
  </si>
  <si>
    <t>ВФЧ/ШВ/У/2869</t>
  </si>
  <si>
    <t>Долованюк Валерія Ігорівна</t>
  </si>
  <si>
    <t>ВФЧ/ШВ/У/2870</t>
  </si>
  <si>
    <t>Скворцов Назар Сергійович</t>
  </si>
  <si>
    <t>ВФЧ/ШВ/У/2871</t>
  </si>
  <si>
    <t>Кургуз Ганна Юріївна</t>
  </si>
  <si>
    <t>ВФЧ/ШВ/У/2872</t>
  </si>
  <si>
    <t>Постіка Лідія Андріївна</t>
  </si>
  <si>
    <t>ВФЧ/ШВ/У/2873</t>
  </si>
  <si>
    <t>Сідловський Ілля Романович</t>
  </si>
  <si>
    <t>ВФЧ/ШВ/У/2874</t>
  </si>
  <si>
    <t>Рогачко Ярослав Миколайович</t>
  </si>
  <si>
    <t>ВФЧ/ШВ/У/2875</t>
  </si>
  <si>
    <t>Маламен Анастасія Сергіївна</t>
  </si>
  <si>
    <t>ВФЧ/ШВ/У/2876</t>
  </si>
  <si>
    <t>Одеський ліцей №78 Одеської міської ради</t>
  </si>
  <si>
    <t>Нікітіна Наталія Вікторівна</t>
  </si>
  <si>
    <t>Беззуб Роман Григорійович</t>
  </si>
  <si>
    <t>ВФЧ/ШВ/У/2877</t>
  </si>
  <si>
    <t>Гавріна Марія Петрівна</t>
  </si>
  <si>
    <t>ВФЧ/ШВ/У/2878</t>
  </si>
  <si>
    <t>Гайдай Мадіна Діловаріллоївна</t>
  </si>
  <si>
    <t>ВФЧ/ШВ/У/2879</t>
  </si>
  <si>
    <t>Іванська Вікторія Володимирівна</t>
  </si>
  <si>
    <t>ВФЧ/ШВ/У/2880</t>
  </si>
  <si>
    <t>Копитін Валентин Андрійович</t>
  </si>
  <si>
    <t>ВФЧ/ШВ/У/2881</t>
  </si>
  <si>
    <t>Моргус Ірина Олегівна</t>
  </si>
  <si>
    <t>ВФЧ/ШВ/У/2882</t>
  </si>
  <si>
    <t>Погосян Ніколь Атомівна</t>
  </si>
  <si>
    <t>ВФЧ/ШВ/У/2883</t>
  </si>
  <si>
    <t>Савєльєва Зоя Сергіївна</t>
  </si>
  <si>
    <t>ВФЧ/ШВ/У/2884</t>
  </si>
  <si>
    <t>Торпан Каріна Юріївна</t>
  </si>
  <si>
    <t>ВФЧ/ШВ/У/2885</t>
  </si>
  <si>
    <t>Яворська Єлізавєта Русланівна</t>
  </si>
  <si>
    <t>ВФЧ/ШВ/У/2886</t>
  </si>
  <si>
    <t>Ліцей № 23 Одеської Міської Ради</t>
  </si>
  <si>
    <t>Нікулін Роман Ігорович</t>
  </si>
  <si>
    <t>Тодейчук Дар'я Олександрівна</t>
  </si>
  <si>
    <t>ВФЧ/ШВ/У/2887</t>
  </si>
  <si>
    <t>Кравченко Ростислав Андрійович</t>
  </si>
  <si>
    <t>ВФЧ/ШВ/У/2888</t>
  </si>
  <si>
    <t>Таркуцяк Валерія Валентинівна</t>
  </si>
  <si>
    <t>ВФЧ/ШВ/У/2889</t>
  </si>
  <si>
    <t>Федорончук Олександра Михайлівна</t>
  </si>
  <si>
    <t>ВФЧ/ШВ/У/2890</t>
  </si>
  <si>
    <t>Левендюк Єлизавета Володимирівна</t>
  </si>
  <si>
    <t>ВФЧ/ШВ/У/2891</t>
  </si>
  <si>
    <t>ОДЕСЬКИЙ ЛІЦЕЙ № 7 ОДЕСЬКОЇ МІСЬКОЇ РАДИ</t>
  </si>
  <si>
    <t>Озарінська Тетяна Станіславівна</t>
  </si>
  <si>
    <t>Гедугов Марат Вячеславович</t>
  </si>
  <si>
    <t>ВФЧ/ШВ/У/2892</t>
  </si>
  <si>
    <t>Голубенко Анна Андріївна</t>
  </si>
  <si>
    <t>ВФЧ/ШВ/У/2893</t>
  </si>
  <si>
    <t>Ігнатьєв Дмитро Андрійович</t>
  </si>
  <si>
    <t>ВФЧ/ШВ/У/2894</t>
  </si>
  <si>
    <t>Ісаєва Ольга Іллівна</t>
  </si>
  <si>
    <t>ВФЧ/ШВ/У/2895</t>
  </si>
  <si>
    <t>Кужелюк Дарья Андріївна</t>
  </si>
  <si>
    <t>ВФЧ/ШВ/У/2896</t>
  </si>
  <si>
    <t>Кузьмін Ілля Олександрович</t>
  </si>
  <si>
    <t>ВФЧ/ШВ/У/2897</t>
  </si>
  <si>
    <t>Кузьміна Варвара Олександрівна</t>
  </si>
  <si>
    <t>ВФЧ/ШВ/У/2898</t>
  </si>
  <si>
    <t>Лавріненко Діана Олександрівна</t>
  </si>
  <si>
    <t>ВФЧ/ШВ/У/2899</t>
  </si>
  <si>
    <t>Марценковська Марія Вячеславівна</t>
  </si>
  <si>
    <t>ВФЧ/ШВ/У/2900</t>
  </si>
  <si>
    <t>Панін Дмитро Миколайович</t>
  </si>
  <si>
    <t>ВФЧ/ШВ/У/2901</t>
  </si>
  <si>
    <t>Репужинський Андрій Романович</t>
  </si>
  <si>
    <t>ВФЧ/ШВ/У/2902</t>
  </si>
  <si>
    <t>Рожков Дмитро Дмитрович</t>
  </si>
  <si>
    <t>ВФЧ/ШВ/У/2903</t>
  </si>
  <si>
    <t>Шкуренкова Поліна Миколаївна</t>
  </si>
  <si>
    <t>ВФЧ/ШВ/У/2904</t>
  </si>
  <si>
    <t>Щербаков Олександр Олександрович</t>
  </si>
  <si>
    <t>ВФЧ/ШВ/У/2905</t>
  </si>
  <si>
    <t xml:space="preserve">Дельжилерський ліцей Татарбунарської міської ради </t>
  </si>
  <si>
    <t xml:space="preserve">Паладій Марія Георгіївна </t>
  </si>
  <si>
    <t>Дімоглов Андрій</t>
  </si>
  <si>
    <t>ВФЧ/ШВ/У/2906</t>
  </si>
  <si>
    <t>Кічук Антон</t>
  </si>
  <si>
    <t>ВФЧ/ШВ/У/2907</t>
  </si>
  <si>
    <t>Недялков Ігор</t>
  </si>
  <si>
    <t>ВФЧ/ШВ/У/2908</t>
  </si>
  <si>
    <t>Гуслякова Каріна</t>
  </si>
  <si>
    <t>ВФЧ/ШВ/У/2909</t>
  </si>
  <si>
    <t>Дімоглов Іван</t>
  </si>
  <si>
    <t>ВФЧ/ШВ/У/2910</t>
  </si>
  <si>
    <t>Русєва Катерина</t>
  </si>
  <si>
    <t>ВФЧ/ШВ/У/2911</t>
  </si>
  <si>
    <t>Іван Дімоглов І.</t>
  </si>
  <si>
    <t>ВФЧ/ШВ/У/2912</t>
  </si>
  <si>
    <t>Аргірова Віталіна</t>
  </si>
  <si>
    <t>ВФЧ/ШВ/У/2913</t>
  </si>
  <si>
    <t>Русєв Максим</t>
  </si>
  <si>
    <t>ВФЧ/ШВ/У/2914</t>
  </si>
  <si>
    <t>ВФЧ/ШВ/У/2915</t>
  </si>
  <si>
    <t>Дімоглова Анжеліка</t>
  </si>
  <si>
    <t>ВФЧ/ШВ/У/2916</t>
  </si>
  <si>
    <t>Русєв Радіон</t>
  </si>
  <si>
    <t>ВФЧ/ШВ/У/2917</t>
  </si>
  <si>
    <t>Дімов Дамір</t>
  </si>
  <si>
    <t>ВФЧ/ШВ/У/2918</t>
  </si>
  <si>
    <t>Кунєва Аліна</t>
  </si>
  <si>
    <t>ВФЧ/ШВ/У/2919</t>
  </si>
  <si>
    <t>Волканова Мария</t>
  </si>
  <si>
    <t>ВФЧ/ШВ/У/2920</t>
  </si>
  <si>
    <t>Куємжи Анна</t>
  </si>
  <si>
    <t>ВФЧ/ШВ/У/2921</t>
  </si>
  <si>
    <t>Вєлєва Анна</t>
  </si>
  <si>
    <t>ВФЧ/ШВ/У/2922</t>
  </si>
  <si>
    <t>Євчева Анна</t>
  </si>
  <si>
    <t>ВФЧ/ШВ/У/2923</t>
  </si>
  <si>
    <t>Гайдаржи Олександра</t>
  </si>
  <si>
    <t>ВФЧ/ШВ/У/2924</t>
  </si>
  <si>
    <t>Дімова Даніела</t>
  </si>
  <si>
    <t>ВФЧ/ШВ/У/2925</t>
  </si>
  <si>
    <t>Гайдаржи Радіон</t>
  </si>
  <si>
    <t>ВФЧ/ШВ/У/2926</t>
  </si>
  <si>
    <t>Семеняк Дар1я</t>
  </si>
  <si>
    <t>ВФЧ/ШВ/У/2927</t>
  </si>
  <si>
    <t>Кічук Ілля</t>
  </si>
  <si>
    <t>ВФЧ/ШВ/У/2928</t>
  </si>
  <si>
    <t>Дімоглова Ангеліна</t>
  </si>
  <si>
    <t>ВФЧ/ШВ/У/2929</t>
  </si>
  <si>
    <t>Міхова Ксенія</t>
  </si>
  <si>
    <t>ВФЧ/ШВ/У/2930</t>
  </si>
  <si>
    <t>Куємжи Марина</t>
  </si>
  <si>
    <t>ВФЧ/ШВ/У/2931</t>
  </si>
  <si>
    <t>Евчева Анна</t>
  </si>
  <si>
    <t>ВФЧ/ШВ/У/2932</t>
  </si>
  <si>
    <t>Аргірова Анастасія</t>
  </si>
  <si>
    <t>ВФЧ/ШВ/У/2933</t>
  </si>
  <si>
    <t>Каралі Інна</t>
  </si>
  <si>
    <t>ВФЧ/ШВ/У/2934</t>
  </si>
  <si>
    <t>Одеський ліцей №15</t>
  </si>
  <si>
    <t>Петельська Олена Юріївна</t>
  </si>
  <si>
    <t>Ільящук Єва Костянтинівна</t>
  </si>
  <si>
    <t>ВФЧ/ШВ/У/2935</t>
  </si>
  <si>
    <t>Матеранська Єлизавета Артурівна</t>
  </si>
  <si>
    <t>ВФЧ/ШВ/У/2936</t>
  </si>
  <si>
    <t>Савранський Дмитро</t>
  </si>
  <si>
    <t>ВФЧ/ШВ/У/2937</t>
  </si>
  <si>
    <t>Барбінова Олена Віталіївна</t>
  </si>
  <si>
    <t>ВФЧ/ШВ/У/2938</t>
  </si>
  <si>
    <t>Євтодій Костянтин Русланович</t>
  </si>
  <si>
    <t>ВФЧ/ШВ/У/2939</t>
  </si>
  <si>
    <t>Одеський економічний ліцей Одеської міської ради</t>
  </si>
  <si>
    <t>Харитонова Бела Григорівна</t>
  </si>
  <si>
    <t>Безбожна Єлизавета</t>
  </si>
  <si>
    <t>ВФЧ/ШВ/У/2940</t>
  </si>
  <si>
    <t>Бєлинська Єлизавета</t>
  </si>
  <si>
    <t>ВФЧ/ШВ/У/2941</t>
  </si>
  <si>
    <t>Вахновська Кіра</t>
  </si>
  <si>
    <t>ВФЧ/ШВ/У/2942</t>
  </si>
  <si>
    <t>Величко Вікторія</t>
  </si>
  <si>
    <t>ВФЧ/ШВ/У/2943</t>
  </si>
  <si>
    <t>Гайдаєнко Ангеліна</t>
  </si>
  <si>
    <t>ВФЧ/ШВ/У/2944</t>
  </si>
  <si>
    <t>Дейнеко Арина</t>
  </si>
  <si>
    <t>ВФЧ/ШВ/У/2945</t>
  </si>
  <si>
    <t>Ель Бакеур Сельма</t>
  </si>
  <si>
    <t>ВФЧ/ШВ/У/2946</t>
  </si>
  <si>
    <t>Євсєєва Дар'я</t>
  </si>
  <si>
    <t>ВФЧ/ШВ/У/2947</t>
  </si>
  <si>
    <t>Жданов Ілля</t>
  </si>
  <si>
    <t>ВФЧ/ШВ/У/2948</t>
  </si>
  <si>
    <t>Іванова Марія</t>
  </si>
  <si>
    <t>ВФЧ/ШВ/У/2949</t>
  </si>
  <si>
    <t>Каргальцева Поліна</t>
  </si>
  <si>
    <t>ВФЧ/ШВ/У/2950</t>
  </si>
  <si>
    <t>Лещенко Юлія</t>
  </si>
  <si>
    <t>ВФЧ/ШВ/У/2951</t>
  </si>
  <si>
    <t>Мазур Андрій</t>
  </si>
  <si>
    <t>ВФЧ/ШВ/У/2952</t>
  </si>
  <si>
    <t>Музиченко Ксенія</t>
  </si>
  <si>
    <t>ВФЧ/ШВ/У/2953</t>
  </si>
  <si>
    <t>Нікітюк Нікіта</t>
  </si>
  <si>
    <t>ВФЧ/ШВ/У/2954</t>
  </si>
  <si>
    <t>Орлов Дмитро</t>
  </si>
  <si>
    <t>ВФЧ/ШВ/У/2955</t>
  </si>
  <si>
    <t>Осадчук Анна</t>
  </si>
  <si>
    <t>ВФЧ/ШВ/У/2956</t>
  </si>
  <si>
    <t>Павленко Олександра</t>
  </si>
  <si>
    <t>ВФЧ/ШВ/У/2957</t>
  </si>
  <si>
    <t>Почерняй Дарина</t>
  </si>
  <si>
    <t>ВФЧ/ШВ/У/2958</t>
  </si>
  <si>
    <t>Русавська Регіна</t>
  </si>
  <si>
    <t>ВФЧ/ШВ/У/2959</t>
  </si>
  <si>
    <t>Рябова Анна</t>
  </si>
  <si>
    <t>ВФЧ/ШВ/У/2960</t>
  </si>
  <si>
    <t>Савенко Євгенія</t>
  </si>
  <si>
    <t>ВФЧ/ШВ/У/2961</t>
  </si>
  <si>
    <t>Сухінін Олександр</t>
  </si>
  <si>
    <t>ВФЧ/ШВ/У/2962</t>
  </si>
  <si>
    <t>Умяров Андрій</t>
  </si>
  <si>
    <t>ВФЧ/ШВ/У/2963</t>
  </si>
  <si>
    <t>Шеремета Микита</t>
  </si>
  <si>
    <t>ВФЧ/ШВ/У/2964</t>
  </si>
  <si>
    <t>Арцизький ліцей №5 з початковою школою та гімназією Арцизької міської ради</t>
  </si>
  <si>
    <t>Шолька Сергій Миколайович</t>
  </si>
  <si>
    <t>Мігова Аліна Олександрівна</t>
  </si>
  <si>
    <t>ВФЧ/ШВ/У/2965</t>
  </si>
  <si>
    <t>Душкіна Анастасія Сергіївна</t>
  </si>
  <si>
    <t>ВФЧ/ШВ/У/2966</t>
  </si>
  <si>
    <t>Шемет Анастасія Федорівна</t>
  </si>
  <si>
    <t>ВФЧ/ШВ/У/2967</t>
  </si>
  <si>
    <t>Сакара Валерія Владиславівна</t>
  </si>
  <si>
    <t>ВФЧ/ШВ/У/2968</t>
  </si>
  <si>
    <t>Батурін Владислав Олександрович</t>
  </si>
  <si>
    <t>ВФЧ/ШВ/У/2969</t>
  </si>
  <si>
    <t>Карпова Елла Едуардівна</t>
  </si>
  <si>
    <t>ВФЧ/ШВ/У/2970</t>
  </si>
  <si>
    <t>Мазурас Катерина Валентинівна</t>
  </si>
  <si>
    <t>ВФЧ/ШВ/У/2971</t>
  </si>
  <si>
    <t>Чербаджи Катерина Афанасіївна</t>
  </si>
  <si>
    <t>ВФЧ/ШВ/У/2972</t>
  </si>
  <si>
    <t>Дика Катерина Олегівна</t>
  </si>
  <si>
    <t>ВФЧ/ШВ/У/2973</t>
  </si>
  <si>
    <t>Луценко Ольга Володимирівна</t>
  </si>
  <si>
    <t>ВФЧ/ШВ/У/2974</t>
  </si>
  <si>
    <t>Дермен Юлія Олександрівна</t>
  </si>
  <si>
    <t>ВФЧ/ШВ/У/2975</t>
  </si>
  <si>
    <t>Гладенко Андрій Миколайович</t>
  </si>
  <si>
    <t>ВФЧ/ШВ/У/2976</t>
  </si>
  <si>
    <t>Шалар Олександр Віталійович</t>
  </si>
  <si>
    <t>ВФЧ/ШВ/У/2977</t>
  </si>
  <si>
    <t>Колосовський Іван Іванович</t>
  </si>
  <si>
    <t>ВФЧ/ШВ/У/2978</t>
  </si>
  <si>
    <t>Михайлюк Юлія Віталіївна</t>
  </si>
  <si>
    <t>ВФЧ/ШВ/У/2979</t>
  </si>
  <si>
    <t>Севастьянова Ірина Віталіївна</t>
  </si>
  <si>
    <t>ВФЧ/ШВ/У/2980</t>
  </si>
  <si>
    <t>Садвакасов Іван</t>
  </si>
  <si>
    <t>ВФЧ/ШВ/У/2981</t>
  </si>
  <si>
    <t>Бардук Аліна Григорівна</t>
  </si>
  <si>
    <t>ВФЧ/ШВ/У/2982</t>
  </si>
  <si>
    <t>Заліван Нікіта Олегович</t>
  </si>
  <si>
    <t>ВФЧ/ШВ/У/2983</t>
  </si>
  <si>
    <t>Мельников Гліб Олександрович</t>
  </si>
  <si>
    <t>ВФЧ/ШВ/У/2984</t>
  </si>
  <si>
    <t>Тарасенко Микита Юрійович</t>
  </si>
  <si>
    <t>ВФЧ/ШВ/У/2985</t>
  </si>
  <si>
    <t>ОДЕСЬКИЙ ЛІЦЕЙ№4 ОДЕСЬКОЇ МІСЬКОЇ РАДИ</t>
  </si>
  <si>
    <t>Шумченя Тетяна Володимирівна</t>
  </si>
  <si>
    <t>Онуфриєнко Єгор Валентинович</t>
  </si>
  <si>
    <t>ВФЧ/ШВ/У/2986</t>
  </si>
  <si>
    <t>Барашкевич Софія Володимирівна</t>
  </si>
  <si>
    <t>ВФЧ/ШВ/У/2987</t>
  </si>
  <si>
    <t>Сенько Артем Валерійович</t>
  </si>
  <si>
    <t>ВФЧ/ШВ/У/2988</t>
  </si>
  <si>
    <t>Cендик Андрій Сергійович</t>
  </si>
  <si>
    <t>ВФЧ/ШВ/У/2989</t>
  </si>
  <si>
    <t>Спасова Дар'я Андріівна</t>
  </si>
  <si>
    <t>ВФЧ/ШВ/У/2990</t>
  </si>
  <si>
    <t>Шатрук Кирило Миколайович</t>
  </si>
  <si>
    <t>ВФЧ/ШВ/У/2991</t>
  </si>
  <si>
    <t>Білецьківський ліцей Кам'янопотоківської сільської ради Кременчуцького району Полтавської області</t>
  </si>
  <si>
    <t>Бондаренко Надія Володимирівна</t>
  </si>
  <si>
    <t>Кернічко Вікторія Вікторівна</t>
  </si>
  <si>
    <t>ВФЧ/ШВ/У/2992</t>
  </si>
  <si>
    <t>Академічний ліцей імені братів Шеметів Лубенської міської ради Полтавської області</t>
  </si>
  <si>
    <t>Гончаров Ігор Анатолійович</t>
  </si>
  <si>
    <t>Юшко Артем Геннадійович</t>
  </si>
  <si>
    <t>ВФЧ/ШВ/У/2993</t>
  </si>
  <si>
    <t>Михайленко Михайло Євгенович</t>
  </si>
  <si>
    <t>ВФЧ/ШВ/У/2994</t>
  </si>
  <si>
    <t>Гвоздьов Максим Сергійович</t>
  </si>
  <si>
    <t>ВФЧ/ШВ/У/2995</t>
  </si>
  <si>
    <t>Сухопара Микита Віталійович</t>
  </si>
  <si>
    <t>ВФЧ/ШВ/У/2996</t>
  </si>
  <si>
    <t>Щербанвський ліцей Щербанівської сільської ради Полтавського району Полтавської області</t>
  </si>
  <si>
    <t>Гордієвський Дмитро Євгенович</t>
  </si>
  <si>
    <t>Асадуллаєв Денис Андрійович</t>
  </si>
  <si>
    <t>ВФЧ/ШВ/У/2997</t>
  </si>
  <si>
    <t>Ворона  Анастасія Віталіївна</t>
  </si>
  <si>
    <t>ВФЧ/ШВ/У/2998</t>
  </si>
  <si>
    <t>Глоба Андрій Олександрович</t>
  </si>
  <si>
    <t>ВФЧ/ШВ/У/2999</t>
  </si>
  <si>
    <t>Гриженко Віталій Олегович</t>
  </si>
  <si>
    <t>ВФЧ/ШВ/У/3000</t>
  </si>
  <si>
    <t>Донченко Маїна Тимофіївна</t>
  </si>
  <si>
    <t>ВФЧ/ШВ/У/3001</t>
  </si>
  <si>
    <t>Дубова Валерія Сергіївна</t>
  </si>
  <si>
    <t>ВФЧ/ШВ/У/3002</t>
  </si>
  <si>
    <t>Дяченко Поліна Євгенівна</t>
  </si>
  <si>
    <t>ВФЧ/ШВ/У/3003</t>
  </si>
  <si>
    <t>Загорулько Марія Романівна</t>
  </si>
  <si>
    <t>ВФЧ/ШВ/У/3004</t>
  </si>
  <si>
    <t>Кисла Ірина Григорівна</t>
  </si>
  <si>
    <t>ВФЧ/ШВ/У/3005</t>
  </si>
  <si>
    <t>Непша Арсеній Юрійович</t>
  </si>
  <si>
    <t>ВФЧ/ШВ/У/3006</t>
  </si>
  <si>
    <t>Рева Тимофій Олександрович</t>
  </si>
  <si>
    <t>ВФЧ/ШВ/У/3007</t>
  </si>
  <si>
    <t>Ріхтік Ілля Миколайович</t>
  </si>
  <si>
    <t>ВФЧ/ШВ/У/3008</t>
  </si>
  <si>
    <t>Сержинський Іван Владиславович</t>
  </si>
  <si>
    <t>ВФЧ/ШВ/У/3009</t>
  </si>
  <si>
    <t>Шкредов Михайло Сергійович</t>
  </si>
  <si>
    <t>ВФЧ/ШВ/У/3010</t>
  </si>
  <si>
    <t>Опорний заклад "Скороходівський ліцей" Скороходівської селищної ради Полтавської області</t>
  </si>
  <si>
    <t>Давиденко Наталія Сергіївна</t>
  </si>
  <si>
    <t>Александров Ілля Володимирович</t>
  </si>
  <si>
    <t>ВФЧ/ШВ/У/3011</t>
  </si>
  <si>
    <t>Андрощук Анна Миколаївна</t>
  </si>
  <si>
    <t>ВФЧ/ШВ/У/3012</t>
  </si>
  <si>
    <t>Доценко Дарія Олександрівна</t>
  </si>
  <si>
    <t>ВФЧ/ШВ/У/3013</t>
  </si>
  <si>
    <t>Жижиль Ірина Сергіївна</t>
  </si>
  <si>
    <t>ВФЧ/ШВ/У/3014</t>
  </si>
  <si>
    <t>Ковпак Христина Олександрівна</t>
  </si>
  <si>
    <t>ВФЧ/ШВ/У/3015</t>
  </si>
  <si>
    <t>Лисенко Аліна Вадимівна</t>
  </si>
  <si>
    <t>ВФЧ/ШВ/У/3016</t>
  </si>
  <si>
    <t>Лісовський Євгеній Степанович</t>
  </si>
  <si>
    <t>ВФЧ/ШВ/У/3017</t>
  </si>
  <si>
    <t>Ляшенко Дарина   Ігорівна</t>
  </si>
  <si>
    <t>ВФЧ/ШВ/У/3018</t>
  </si>
  <si>
    <t>Морозова Марія Олександрівна</t>
  </si>
  <si>
    <t>ВФЧ/ШВ/У/3019</t>
  </si>
  <si>
    <t>Оберемок Артем Андрійович</t>
  </si>
  <si>
    <t>ВФЧ/ШВ/У/3020</t>
  </si>
  <si>
    <t>Петренко Дмитро Анатолійович</t>
  </si>
  <si>
    <t>ВФЧ/ШВ/У/3021</t>
  </si>
  <si>
    <t>Синиця Дмитро Миколайович</t>
  </si>
  <si>
    <t>ВФЧ/ШВ/У/3022</t>
  </si>
  <si>
    <t>ОЗО "Миргородський ліцей імені І.А.Зубковського"</t>
  </si>
  <si>
    <t>Кареліна Оксана Анатоліївна</t>
  </si>
  <si>
    <t>Крючок Ірина Олександрівна</t>
  </si>
  <si>
    <t>ВФЧ/ШВ/У/3023</t>
  </si>
  <si>
    <t>Усатов Іван Станіславович</t>
  </si>
  <si>
    <t>ВФЧ/ШВ/У/3024</t>
  </si>
  <si>
    <t>Полтавський ліцей # 2</t>
  </si>
  <si>
    <t xml:space="preserve">Кравець Міла </t>
  </si>
  <si>
    <t>Стрельніков Михайло Сергійович</t>
  </si>
  <si>
    <t>ВФЧ/ШВ/У/3025</t>
  </si>
  <si>
    <t>Чирва Ярослав Сергійович</t>
  </si>
  <si>
    <t>ВФЧ/ШВ/У/3026</t>
  </si>
  <si>
    <t>Головіна Єлизовета Олексіївна</t>
  </si>
  <si>
    <t>ВФЧ/ШВ/У/3027</t>
  </si>
  <si>
    <t>Коледін Богдан Максимович</t>
  </si>
  <si>
    <t>ВФЧ/ШВ/У/3028</t>
  </si>
  <si>
    <t>Головань Нікіта Сергійович</t>
  </si>
  <si>
    <t>ВФЧ/ШВ/У/3029</t>
  </si>
  <si>
    <t>Пашков Вадим Юрійович</t>
  </si>
  <si>
    <t>ВФЧ/ШВ/У/3030</t>
  </si>
  <si>
    <t>опорний заклад "Омельницький ліцей" виконавчого комітету Омельницької сільської ради Кременчуцького району Полтавської області</t>
  </si>
  <si>
    <t xml:space="preserve">Павлушенко Катерина Валеріївна </t>
  </si>
  <si>
    <t>Ананьєв Станіслав</t>
  </si>
  <si>
    <t>ВФЧ/ШВ/У/3031</t>
  </si>
  <si>
    <t>Андрела Герман</t>
  </si>
  <si>
    <t>ВФЧ/ШВ/У/3032</t>
  </si>
  <si>
    <t>Грузська Ангеліна</t>
  </si>
  <si>
    <t>ВФЧ/ШВ/У/3033</t>
  </si>
  <si>
    <t>Кальченко Матвєй</t>
  </si>
  <si>
    <t>ВФЧ/ШВ/У/3034</t>
  </si>
  <si>
    <t>Кудін Олександр</t>
  </si>
  <si>
    <t>ВФЧ/ШВ/У/3035</t>
  </si>
  <si>
    <t>Литвиненко Владислав</t>
  </si>
  <si>
    <t>ВФЧ/ШВ/У/3036</t>
  </si>
  <si>
    <t>Мельник Ольга</t>
  </si>
  <si>
    <t>ВФЧ/ШВ/У/3037</t>
  </si>
  <si>
    <t>Михайлов Тимур</t>
  </si>
  <si>
    <t>ВФЧ/ШВ/У/3038</t>
  </si>
  <si>
    <t>Новожилова Діана</t>
  </si>
  <si>
    <t>ВФЧ/ШВ/У/3039</t>
  </si>
  <si>
    <t>Терещенко Марина</t>
  </si>
  <si>
    <t>ВФЧ/ШВ/У/3040</t>
  </si>
  <si>
    <t>Ткачова Ірина</t>
  </si>
  <si>
    <t>ВФЧ/ШВ/У/3041</t>
  </si>
  <si>
    <t>Хоменко Поліна</t>
  </si>
  <si>
    <t>ВФЧ/ШВ/У/3042</t>
  </si>
  <si>
    <t>Чернишев Максим</t>
  </si>
  <si>
    <t>ВФЧ/ШВ/У/3043</t>
  </si>
  <si>
    <t>Ясинська Олександра</t>
  </si>
  <si>
    <t>ВФЧ/ШВ/У/3044</t>
  </si>
  <si>
    <t>Петрівський ліцей</t>
  </si>
  <si>
    <t>Чернобай Надія Володимирівна</t>
  </si>
  <si>
    <t>Гостудим Максім Олександрович</t>
  </si>
  <si>
    <t>ВФЧ/ШВ/У/3045</t>
  </si>
  <si>
    <t>Карапутін Максим Віталійович</t>
  </si>
  <si>
    <t>ВФЧ/ШВ/У/3046</t>
  </si>
  <si>
    <t>Крякушин Максим Олександрович</t>
  </si>
  <si>
    <t>ВФЧ/ШВ/У/3047</t>
  </si>
  <si>
    <t>Ляскало Олександра Романівна</t>
  </si>
  <si>
    <t>ВФЧ/ШВ/У/3048</t>
  </si>
  <si>
    <t>Максименко Роман Володимирович</t>
  </si>
  <si>
    <t>ВФЧ/ШВ/У/3049</t>
  </si>
  <si>
    <t>Мироненко Артем Олегович</t>
  </si>
  <si>
    <t>ВФЧ/ШВ/У/3050</t>
  </si>
  <si>
    <t>Мозговий Ростислав Романович</t>
  </si>
  <si>
    <t>ВФЧ/ШВ/У/3051</t>
  </si>
  <si>
    <t>Молодожонова Дар'я Миколаївна</t>
  </si>
  <si>
    <t>ВФЧ/ШВ/У/3052</t>
  </si>
  <si>
    <t>Мусохранова Вікторія Валентинівна</t>
  </si>
  <si>
    <t>ВФЧ/ШВ/У/3053</t>
  </si>
  <si>
    <t>Небрат Максим Дмитрович</t>
  </si>
  <si>
    <t>ВФЧ/ШВ/У/3054</t>
  </si>
  <si>
    <t>Пудим Вікторія Сергіївна</t>
  </si>
  <si>
    <t>ВФЧ/ШВ/У/3055</t>
  </si>
  <si>
    <t>Турчак Віталій Віталійович</t>
  </si>
  <si>
    <t>ВФЧ/ШВ/У/3056</t>
  </si>
  <si>
    <t>Хроленко Марина Вікторівна</t>
  </si>
  <si>
    <t>ВФЧ/ШВ/У/3057</t>
  </si>
  <si>
    <t>Шашок Софія Володимирівна</t>
  </si>
  <si>
    <t>ВФЧ/ШВ/У/3058</t>
  </si>
  <si>
    <t>Шмаль Марія Григорівна</t>
  </si>
  <si>
    <t>ВФЧ/ШВ/У/3059</t>
  </si>
  <si>
    <t>Штепка Тимофій Валерійович</t>
  </si>
  <si>
    <t>ВФЧ/ШВ/У/3060</t>
  </si>
  <si>
    <t>Заводський ліцей №1 Заводської міської ради Миргородського району Полтавської області</t>
  </si>
  <si>
    <t>Ющенко Ірина Володимирівна</t>
  </si>
  <si>
    <t>Довгопол Аліса Олександрівна</t>
  </si>
  <si>
    <t>ВФЧ/ШВ/У/3061</t>
  </si>
  <si>
    <t>Коренєв Микола Євгенович</t>
  </si>
  <si>
    <t>ВФЧ/ШВ/У/3062</t>
  </si>
  <si>
    <t>Кухарчук Каріна Сергіївна</t>
  </si>
  <si>
    <t>ВФЧ/ШВ/У/3063</t>
  </si>
  <si>
    <t>Литвиненко Ангеліна Сергіївна</t>
  </si>
  <si>
    <t>ВФЧ/ШВ/У/3064</t>
  </si>
  <si>
    <t>Ломаченко Аміна Вікторівна</t>
  </si>
  <si>
    <t>ВФЧ/ШВ/У/3065</t>
  </si>
  <si>
    <t>Пащенко Карина Анатоліївна</t>
  </si>
  <si>
    <t>ВФЧ/ШВ/У/3066</t>
  </si>
  <si>
    <t>Тищенко Дарина Вікторівна</t>
  </si>
  <si>
    <t>ВФЧ/ШВ/У/3067</t>
  </si>
  <si>
    <t xml:space="preserve"> Вараський ліцей №6 Вараської міської ради</t>
  </si>
  <si>
    <t xml:space="preserve"> Бутрим Лідія Петрівна</t>
  </si>
  <si>
    <t>Халик Дарія Михайлівна</t>
  </si>
  <si>
    <t>ВФЧ/ШВ/У/3068</t>
  </si>
  <si>
    <t>Рижкова Маргарита Ігорівна</t>
  </si>
  <si>
    <t>ВФЧ/ШВ/У/3069</t>
  </si>
  <si>
    <t>Кислянка Альбіна Ігорівна</t>
  </si>
  <si>
    <t>ВФЧ/ШВ/У/3070</t>
  </si>
  <si>
    <t>Повторейко Вікторія Русланівна</t>
  </si>
  <si>
    <t>ВФЧ/ШВ/У/3071</t>
  </si>
  <si>
    <t>Добрянська Єлизавета Анатоліївна</t>
  </si>
  <si>
    <t>ВФЧ/ШВ/У/3072</t>
  </si>
  <si>
    <t>Євсович Ольга Юріївна</t>
  </si>
  <si>
    <t>ВФЧ/ШВ/У/3073</t>
  </si>
  <si>
    <t>Мельник Вікторія Валеріївна</t>
  </si>
  <si>
    <t>ВФЧ/ШВ/У/3074</t>
  </si>
  <si>
    <t>Камінська Соломія Юріївна</t>
  </si>
  <si>
    <t>ВФЧ/ШВ/У/3075</t>
  </si>
  <si>
    <t>Дорошко Каміла Андріївна</t>
  </si>
  <si>
    <t>ВФЧ/ШВ/У/3076</t>
  </si>
  <si>
    <t>Васильчук Давід Володимирович</t>
  </si>
  <si>
    <t>ВФЧ/ШВ/У/3077</t>
  </si>
  <si>
    <t>Сидорчик Анна Віталіївна</t>
  </si>
  <si>
    <t>ВФЧ/ШВ/У/3078</t>
  </si>
  <si>
    <t>Квач Микита Миколайович</t>
  </si>
  <si>
    <t>ВФЧ/ШВ/У/3079</t>
  </si>
  <si>
    <t>Духанін Михайло Артемович</t>
  </si>
  <si>
    <t>ВФЧ/ШВ/У/3080</t>
  </si>
  <si>
    <t>Іжик Любов Геннадіївна</t>
  </si>
  <si>
    <t>ВФЧ/ШВ/У/3081</t>
  </si>
  <si>
    <t>Бондар Надія Сергіївна</t>
  </si>
  <si>
    <t>ВФЧ/ШВ/У/3082</t>
  </si>
  <si>
    <t>Лишканець Олександра Сергіївна</t>
  </si>
  <si>
    <t>ВФЧ/ШВ/У/3083</t>
  </si>
  <si>
    <t>Мазурець Іван Русланович</t>
  </si>
  <si>
    <t>ВФЧ/ШВ/У/3084</t>
  </si>
  <si>
    <t>Мєлєнтьєва Анастасія Дмитрівна</t>
  </si>
  <si>
    <t>ВФЧ/ШВ/У/3085</t>
  </si>
  <si>
    <t>Шуліпа Захарій Сергійович</t>
  </si>
  <si>
    <t>ВФЧ/ШВ/У/3086</t>
  </si>
  <si>
    <t>Різанович Владислав Миколайович</t>
  </si>
  <si>
    <t>ВФЧ/ШВ/У/3087</t>
  </si>
  <si>
    <t>Кедич Ілля Юрійович</t>
  </si>
  <si>
    <t>ВФЧ/ШВ/У/3088</t>
  </si>
  <si>
    <t>Герштун Арсен Андрійович</t>
  </si>
  <si>
    <t>ВФЧ/ШВ/У/3089</t>
  </si>
  <si>
    <t>Рибчинчук Ірина Анатоліївна</t>
  </si>
  <si>
    <t>ВФЧ/ШВ/У/3090</t>
  </si>
  <si>
    <t>Грабовський Ілля Володимирович</t>
  </si>
  <si>
    <t>ВФЧ/ШВ/У/3091</t>
  </si>
  <si>
    <t>Гальченко Карина Миколаївна</t>
  </si>
  <si>
    <t>ВФЧ/ШВ/У/3092</t>
  </si>
  <si>
    <t>Слобода Андрій Русланович</t>
  </si>
  <si>
    <t>ВФЧ/ШВ/У/3093</t>
  </si>
  <si>
    <t>Несіпбаєва Кіра  Болатівна</t>
  </si>
  <si>
    <t>ВФЧ/ШВ/У/3094</t>
  </si>
  <si>
    <t>Тригуба  Максим  Олександрович</t>
  </si>
  <si>
    <t>ВФЧ/ШВ/У/3095</t>
  </si>
  <si>
    <t>Скібчик Денис Олегович</t>
  </si>
  <si>
    <t>ВФЧ/ШВ/У/3096</t>
  </si>
  <si>
    <t>Нафєєва Олександра Олександрівна</t>
  </si>
  <si>
    <t>ВФЧ/ШВ/У/3097</t>
  </si>
  <si>
    <t>Плисюк Тарас Миколайович</t>
  </si>
  <si>
    <t>ВФЧ/ШВ/У/3098</t>
  </si>
  <si>
    <t>Примачк Максим Сергійович</t>
  </si>
  <si>
    <t>ВФЧ/ШВ/У/3099</t>
  </si>
  <si>
    <t>Комаринський Дмитрій Вадимович</t>
  </si>
  <si>
    <t>ВФЧ/ШВ/У/3100</t>
  </si>
  <si>
    <t>Анцибор Софія Олександрівна</t>
  </si>
  <si>
    <t>ВФЧ/ШВ/У/3101</t>
  </si>
  <si>
    <t>Обласний науковий ліцей в м. Рівне Рівненської обласної ради</t>
  </si>
  <si>
    <t>Вашай Юлія Володимирівна</t>
  </si>
  <si>
    <t>Бабчанік Даниїл Васильович</t>
  </si>
  <si>
    <t>ВФЧ/ШВ/У/3102</t>
  </si>
  <si>
    <t>Бартошук Даніела Сергіївна</t>
  </si>
  <si>
    <t>ВФЧ/ШВ/У/3103</t>
  </si>
  <si>
    <t>Бусь Андрій Олегович</t>
  </si>
  <si>
    <t>ВФЧ/ШВ/У/3104</t>
  </si>
  <si>
    <t>Бухалюк Маргарита Іванівна</t>
  </si>
  <si>
    <t>ВФЧ/ШВ/У/3105</t>
  </si>
  <si>
    <t>Власюк Владіслав Олександрович</t>
  </si>
  <si>
    <t>ВФЧ/ШВ/У/3106</t>
  </si>
  <si>
    <t>Гарматій Ярина Андріївна</t>
  </si>
  <si>
    <t>ВФЧ/ШВ/У/3107</t>
  </si>
  <si>
    <t>Давидюк Яна Андріївна</t>
  </si>
  <si>
    <t>ВФЧ/ШВ/У/3108</t>
  </si>
  <si>
    <t>Дацька Софія Олександрівна</t>
  </si>
  <si>
    <t>ВФЧ/ШВ/У/3109</t>
  </si>
  <si>
    <t>Жеребко Ілля Дмитрович</t>
  </si>
  <si>
    <t>ВФЧ/ШВ/У/3110</t>
  </si>
  <si>
    <t>Карпунець Ірина Сергіївна</t>
  </si>
  <si>
    <t>ВФЧ/ШВ/У/3111</t>
  </si>
  <si>
    <t>Конощук Андрій Ігорович</t>
  </si>
  <si>
    <t>ВФЧ/ШВ/У/3112</t>
  </si>
  <si>
    <t>Копотілов Ілля Андрійович</t>
  </si>
  <si>
    <t>ВФЧ/ШВ/У/3113</t>
  </si>
  <si>
    <t>Костюк Зоряна Олександрівна</t>
  </si>
  <si>
    <t>ВФЧ/ШВ/У/3114</t>
  </si>
  <si>
    <t>Кректун Павло Андрійович</t>
  </si>
  <si>
    <t>ВФЧ/ШВ/У/3115</t>
  </si>
  <si>
    <t>Курильчик Анастасія Павлівна</t>
  </si>
  <si>
    <t>ВФЧ/ШВ/У/3116</t>
  </si>
  <si>
    <t>Куцаба Марк Ярославович</t>
  </si>
  <si>
    <t>ВФЧ/ШВ/У/3117</t>
  </si>
  <si>
    <t>Мельник Максим Сергійович</t>
  </si>
  <si>
    <t>ВФЧ/ШВ/У/3118</t>
  </si>
  <si>
    <t>Мікрюкова Милана Юріївна</t>
  </si>
  <si>
    <t>ВФЧ/ШВ/У/3119</t>
  </si>
  <si>
    <t>Музичук Уляна Борисівна</t>
  </si>
  <si>
    <t>ВФЧ/ШВ/У/3120</t>
  </si>
  <si>
    <t>Нестерчук Тимофій Олегович</t>
  </si>
  <si>
    <t>ВФЧ/ШВ/У/3121</t>
  </si>
  <si>
    <t>Новік Христина Русланівна</t>
  </si>
  <si>
    <t>ВФЧ/ШВ/У/3122</t>
  </si>
  <si>
    <t>Олексійчук Вікторія Юріївна</t>
  </si>
  <si>
    <t>ВФЧ/ШВ/У/3123</t>
  </si>
  <si>
    <t>Опалько Марко Сергійович</t>
  </si>
  <si>
    <t>ВФЧ/ШВ/У/3124</t>
  </si>
  <si>
    <t>Пляшко Софія Анатоліївна</t>
  </si>
  <si>
    <t>ВФЧ/ШВ/У/3125</t>
  </si>
  <si>
    <t>Ралець Давид Романович</t>
  </si>
  <si>
    <t>ВФЧ/ШВ/У/3126</t>
  </si>
  <si>
    <t>Титечко Владислав Васильович</t>
  </si>
  <si>
    <t>ВФЧ/ШВ/У/3127</t>
  </si>
  <si>
    <t>Тишкул Олег Сергійович</t>
  </si>
  <si>
    <t>ВФЧ/ШВ/У/3128</t>
  </si>
  <si>
    <t>Цильт Анастасія Володимирівна</t>
  </si>
  <si>
    <t>ВФЧ/ШВ/У/3129</t>
  </si>
  <si>
    <t>Шевчук Михайло Артемович</t>
  </si>
  <si>
    <t>ВФЧ/ШВ/У/3130</t>
  </si>
  <si>
    <t>Шидловський Павло Андрійович</t>
  </si>
  <si>
    <t>ВФЧ/ШВ/У/3131</t>
  </si>
  <si>
    <t>Ярош Роман Олегович</t>
  </si>
  <si>
    <t>ВФЧ/ШВ/У/3132</t>
  </si>
  <si>
    <t>Балюк Софія Олександрівна</t>
  </si>
  <si>
    <t>ВФЧ/ШВ/У/3133</t>
  </si>
  <si>
    <t>Бобанич Марко Юрійович</t>
  </si>
  <si>
    <t>ВФЧ/ШВ/У/3134</t>
  </si>
  <si>
    <t>Ващишин Олексій Павлович</t>
  </si>
  <si>
    <t>ВФЧ/ШВ/У/3135</t>
  </si>
  <si>
    <t>Грицишина Анна Володимирівна</t>
  </si>
  <si>
    <t>ВФЧ/ШВ/У/3136</t>
  </si>
  <si>
    <t>Дідик Марта Олегівна</t>
  </si>
  <si>
    <t>ВФЧ/ШВ/У/3137</t>
  </si>
  <si>
    <t>Єдинчук Юліана Миколаївна</t>
  </si>
  <si>
    <t>ВФЧ/ШВ/У/3138</t>
  </si>
  <si>
    <t>Заяць Дарина Романівна</t>
  </si>
  <si>
    <t>ВФЧ/ШВ/У/3139</t>
  </si>
  <si>
    <t>Камєнєва Інна Олександрівна</t>
  </si>
  <si>
    <t>ВФЧ/ШВ/У/3140</t>
  </si>
  <si>
    <t>Качур Нікіта Сергійович</t>
  </si>
  <si>
    <t>ВФЧ/ШВ/У/3141</t>
  </si>
  <si>
    <t>Кисиленко Олександр Олександрович</t>
  </si>
  <si>
    <t>ВФЧ/ШВ/У/3142</t>
  </si>
  <si>
    <t>Коваль Микита Васильович</t>
  </si>
  <si>
    <t>ВФЧ/ШВ/У/3143</t>
  </si>
  <si>
    <t>Красько Артем Олегович</t>
  </si>
  <si>
    <t>ВФЧ/ШВ/У/3144</t>
  </si>
  <si>
    <t>Красько Станіслав Вадимович</t>
  </si>
  <si>
    <t>ВФЧ/ШВ/У/3145</t>
  </si>
  <si>
    <t>Левчик Анна Сергіївна</t>
  </si>
  <si>
    <t>ВФЧ/ШВ/У/3146</t>
  </si>
  <si>
    <t>Левшенюк Артемій Олександрович</t>
  </si>
  <si>
    <t>ВФЧ/ШВ/У/3147</t>
  </si>
  <si>
    <t>Марцинковська Анастасія Юріївна</t>
  </si>
  <si>
    <t>ВФЧ/ШВ/У/3148</t>
  </si>
  <si>
    <t>Мельник Владислав Андрійович</t>
  </si>
  <si>
    <t>ВФЧ/ШВ/У/3149</t>
  </si>
  <si>
    <t>Нагорняк Максим Михайлович</t>
  </si>
  <si>
    <t>ВФЧ/ШВ/У/3150</t>
  </si>
  <si>
    <t>Олійник Андрій Володимирович</t>
  </si>
  <si>
    <t>ВФЧ/ШВ/У/3151</t>
  </si>
  <si>
    <t>Приварський Назар Вікторович</t>
  </si>
  <si>
    <t>ВФЧ/ШВ/У/3152</t>
  </si>
  <si>
    <t>Решетник Роман Віталійович</t>
  </si>
  <si>
    <t>ВФЧ/ШВ/У/3153</t>
  </si>
  <si>
    <t>Рибачик Валентина Сергіївна</t>
  </si>
  <si>
    <t>ВФЧ/ШВ/У/3154</t>
  </si>
  <si>
    <t>Рожчук Ілля Олександрович</t>
  </si>
  <si>
    <t>ВФЧ/ШВ/У/3155</t>
  </si>
  <si>
    <t>Савченко Матвій Олександрович</t>
  </si>
  <si>
    <t>ВФЧ/ШВ/У/3156</t>
  </si>
  <si>
    <t>Соловей Назар Юрійович</t>
  </si>
  <si>
    <t>ВФЧ/ШВ/У/3157</t>
  </si>
  <si>
    <t>Стасюк Соломія Романівна</t>
  </si>
  <si>
    <t>ВФЧ/ШВ/У/3158</t>
  </si>
  <si>
    <t>Стрибулевич Олександр Леонідович</t>
  </si>
  <si>
    <t>ВФЧ/ШВ/У/3159</t>
  </si>
  <si>
    <t>Федорчук Дмитро Юрійович</t>
  </si>
  <si>
    <t>ВФЧ/ШВ/У/3160</t>
  </si>
  <si>
    <t>Цілінська Катерина Едуардівна</t>
  </si>
  <si>
    <t>ВФЧ/ШВ/У/3161</t>
  </si>
  <si>
    <t>Чекайда Софія Дмитрівна</t>
  </si>
  <si>
    <t>ВФЧ/ШВ/У/3162</t>
  </si>
  <si>
    <t>Бзита Софія Сергіївна</t>
  </si>
  <si>
    <t>ВФЧ/ШВ/У/3163</t>
  </si>
  <si>
    <t>Бровченко Софія Сергіївна</t>
  </si>
  <si>
    <t>ВФЧ/ШВ/У/3164</t>
  </si>
  <si>
    <t>Подлящук Роман Юрійович</t>
  </si>
  <si>
    <t>ВФЧ/ШВ/У/3165</t>
  </si>
  <si>
    <t>Радивоник Лідія Володимирівна</t>
  </si>
  <si>
    <t>ВФЧ/ШВ/У/3166</t>
  </si>
  <si>
    <t>Тишковець Михайло Віталійович</t>
  </si>
  <si>
    <t>ВФЧ/ШВ/У/3167</t>
  </si>
  <si>
    <t>Бойко Юлія Віталіівна</t>
  </si>
  <si>
    <t>ВФЧ/ШВ/У/3168</t>
  </si>
  <si>
    <t>Гринюк Ірина Василівна</t>
  </si>
  <si>
    <t>ВФЧ/ШВ/У/3169</t>
  </si>
  <si>
    <t>Жовтко Світлана Романівна</t>
  </si>
  <si>
    <t>ВФЧ/ШВ/У/3170</t>
  </si>
  <si>
    <t>Жук Софія Андріївна</t>
  </si>
  <si>
    <t>ВФЧ/ШВ/У/3171</t>
  </si>
  <si>
    <t>Жульжик Вікторія Олегівна</t>
  </si>
  <si>
    <t>ВФЧ/ШВ/У/3172</t>
  </si>
  <si>
    <t>zulzikv@gmail.com</t>
  </si>
  <si>
    <t>ВФЧ/ШВ/У/3173</t>
  </si>
  <si>
    <t>Комар Тетяна Дмитрівна</t>
  </si>
  <si>
    <t>ВФЧ/ШВ/У/3174</t>
  </si>
  <si>
    <t>Котюк Дарина Дмитрівна</t>
  </si>
  <si>
    <t>ВФЧ/ШВ/У/3175</t>
  </si>
  <si>
    <t>Кулик Валерія Сергіївна</t>
  </si>
  <si>
    <t>ВФЧ/ШВ/У/3176</t>
  </si>
  <si>
    <t>Ліщинська Вікторія Тарасівна</t>
  </si>
  <si>
    <t>ВФЧ/ШВ/У/3177</t>
  </si>
  <si>
    <t>Менегальдо Арсеній</t>
  </si>
  <si>
    <t>ВФЧ/ШВ/У/3178</t>
  </si>
  <si>
    <t>Михалюк Софія Володимирівна</t>
  </si>
  <si>
    <t>ВФЧ/ШВ/У/3179</t>
  </si>
  <si>
    <t>Перець Борис Сергійович</t>
  </si>
  <si>
    <t>ВФЧ/ШВ/У/3180</t>
  </si>
  <si>
    <t>Пестрецова Анна Сергіївна</t>
  </si>
  <si>
    <t>ВФЧ/ШВ/У/3181</t>
  </si>
  <si>
    <t>Петровець Марія Юріївна</t>
  </si>
  <si>
    <t>ВФЧ/ШВ/У/3182</t>
  </si>
  <si>
    <t>Почтар Дарина Григорівна</t>
  </si>
  <si>
    <t>ВФЧ/ШВ/У/3183</t>
  </si>
  <si>
    <t>Продажець Аріна Тарасівна</t>
  </si>
  <si>
    <t>ВФЧ/ШВ/У/3184</t>
  </si>
  <si>
    <t>Родь Стефанія Олегівна</t>
  </si>
  <si>
    <t>ВФЧ/ШВ/У/3185</t>
  </si>
  <si>
    <t>Слива Максим Юрійович</t>
  </si>
  <si>
    <t>ВФЧ/ШВ/У/3186</t>
  </si>
  <si>
    <t>Стадницька Карина Василівна</t>
  </si>
  <si>
    <t>ВФЧ/ШВ/У/3187</t>
  </si>
  <si>
    <t>Сухляк Олег Владиславович</t>
  </si>
  <si>
    <t>ВФЧ/ШВ/У/3188</t>
  </si>
  <si>
    <t>Ткач Марія Дмитрівна</t>
  </si>
  <si>
    <t>ВФЧ/ШВ/У/3189</t>
  </si>
  <si>
    <t>Якимчук Вікторія Олександрівна</t>
  </si>
  <si>
    <t>ВФЧ/ШВ/У/3190</t>
  </si>
  <si>
    <t>Буковська Дарина Володимирівна</t>
  </si>
  <si>
    <t>ВФЧ/ШВ/У/3191</t>
  </si>
  <si>
    <t>Вознюк Ангеліна Ігорівна</t>
  </si>
  <si>
    <t>ВФЧ/ШВ/У/3192</t>
  </si>
  <si>
    <t>Зайчук Роман Валентинович</t>
  </si>
  <si>
    <t>ВФЧ/ШВ/У/3193</t>
  </si>
  <si>
    <t>Залива Олена Вячеславівна</t>
  </si>
  <si>
    <t>ВФЧ/ШВ/У/3194</t>
  </si>
  <si>
    <t>Ковальчук Дмитро Романович</t>
  </si>
  <si>
    <t>ВФЧ/ШВ/У/3195</t>
  </si>
  <si>
    <t>Козловець Злата Іванівна</t>
  </si>
  <si>
    <t>ВФЧ/ШВ/У/3196</t>
  </si>
  <si>
    <t>Коробчук Уляна Юріївна</t>
  </si>
  <si>
    <t>ВФЧ/ШВ/У/3197</t>
  </si>
  <si>
    <t>Котоуч Микола Олександрович</t>
  </si>
  <si>
    <t>ВФЧ/ШВ/У/3198</t>
  </si>
  <si>
    <t>Кукса Іванна Олександрівна</t>
  </si>
  <si>
    <t>ВФЧ/ШВ/У/3199</t>
  </si>
  <si>
    <t>Кухарець Анна Ігорівна</t>
  </si>
  <si>
    <t>ВФЧ/ШВ/У/3200</t>
  </si>
  <si>
    <t>Кушнірук Владислава Андріївна</t>
  </si>
  <si>
    <t>ВФЧ/ШВ/У/3201</t>
  </si>
  <si>
    <t>Литвинчук Поліна Володимирівна</t>
  </si>
  <si>
    <t>ВФЧ/ШВ/У/3202</t>
  </si>
  <si>
    <t>Лук'янець Маргарита Анатоліївна</t>
  </si>
  <si>
    <t>ВФЧ/ШВ/У/3203</t>
  </si>
  <si>
    <t>Малухін Кирило Сергійович</t>
  </si>
  <si>
    <t>ВФЧ/ШВ/У/3204</t>
  </si>
  <si>
    <t>Мельник Ольга Олегівна</t>
  </si>
  <si>
    <t>ВФЧ/ШВ/У/3205</t>
  </si>
  <si>
    <t>Мошинська Анастасія Сергіївна</t>
  </si>
  <si>
    <t>ВФЧ/ШВ/У/3206</t>
  </si>
  <si>
    <t>Павлишина Олександра Романівна</t>
  </si>
  <si>
    <t>ВФЧ/ШВ/У/3207</t>
  </si>
  <si>
    <t>Полончук Злата Володимирівна</t>
  </si>
  <si>
    <t>ВФЧ/ШВ/У/3208</t>
  </si>
  <si>
    <t>Пшебільська Поліна Дмитрівна</t>
  </si>
  <si>
    <t>ВФЧ/ШВ/У/3209</t>
  </si>
  <si>
    <t>Радченко Владислава Олексіївна</t>
  </si>
  <si>
    <t>ВФЧ/ШВ/У/3210</t>
  </si>
  <si>
    <t>Солонько Маргарита Олександрівна</t>
  </si>
  <si>
    <t>ВФЧ/ШВ/У/3211</t>
  </si>
  <si>
    <t>Старко Анастасія Ігорівна</t>
  </si>
  <si>
    <t>ВФЧ/ШВ/У/3212</t>
  </si>
  <si>
    <t>Стратюк Андрій Олегович</t>
  </si>
  <si>
    <t>ВФЧ/ШВ/У/3213</t>
  </si>
  <si>
    <t>Стрільчук Уляна Русланівна</t>
  </si>
  <si>
    <t>ВФЧ/ШВ/У/3214</t>
  </si>
  <si>
    <t>Супронюк Софія Геннадівна</t>
  </si>
  <si>
    <t>ВФЧ/ШВ/У/3215</t>
  </si>
  <si>
    <t>Топольський Вадим Вадимович</t>
  </si>
  <si>
    <t>ВФЧ/ШВ/У/3216</t>
  </si>
  <si>
    <t>Яремчук Мілена Іллівна</t>
  </si>
  <si>
    <t>ВФЧ/ШВ/У/3217</t>
  </si>
  <si>
    <t>Бєдункова Олена Вадимівна</t>
  </si>
  <si>
    <t>ВФЧ/ШВ/У/3218</t>
  </si>
  <si>
    <t>Бондар Софія Сергіївна</t>
  </si>
  <si>
    <t>ВФЧ/ШВ/У/3219</t>
  </si>
  <si>
    <t>Войтович Андрій Євгенович</t>
  </si>
  <si>
    <t>ВФЧ/ШВ/У/3220</t>
  </si>
  <si>
    <t>Ворощук Вікторія Андріївна</t>
  </si>
  <si>
    <t>ВФЧ/ШВ/У/3221</t>
  </si>
  <si>
    <t>Кісільчук Христина Ігорівна</t>
  </si>
  <si>
    <t>ВФЧ/ШВ/У/3222</t>
  </si>
  <si>
    <t>Кричильська Анастасія Григорівна</t>
  </si>
  <si>
    <t>ВФЧ/ШВ/У/3223</t>
  </si>
  <si>
    <t>Кульбаба Катерина Миколаївна</t>
  </si>
  <si>
    <t>ВФЧ/ШВ/У/3224</t>
  </si>
  <si>
    <t>Куропаткіна Аліна Олексіївна</t>
  </si>
  <si>
    <t>ВФЧ/ШВ/У/3225</t>
  </si>
  <si>
    <t>Маламанюк Софія Павлівна</t>
  </si>
  <si>
    <t>ВФЧ/ШВ/У/3226</t>
  </si>
  <si>
    <t>Мідлік Ангеліна Вікторівна</t>
  </si>
  <si>
    <t>ВФЧ/ШВ/У/3227</t>
  </si>
  <si>
    <t>Петрова Христина Миколаївна</t>
  </si>
  <si>
    <t>ВФЧ/ШВ/У/3228</t>
  </si>
  <si>
    <t>Попова Дарина Олексіївна</t>
  </si>
  <si>
    <t>ВФЧ/ШВ/У/3229</t>
  </si>
  <si>
    <t>Потапчук Дар'я Іванівна</t>
  </si>
  <si>
    <t>ВФЧ/ШВ/У/3230</t>
  </si>
  <si>
    <t>Розумна Олександра Олегівна</t>
  </si>
  <si>
    <t>ВФЧ/ШВ/У/3231</t>
  </si>
  <si>
    <t>Саванчук Аліна Тимофіївна</t>
  </si>
  <si>
    <t>ВФЧ/ШВ/У/3232</t>
  </si>
  <si>
    <t>Самардак Ольга Володимирівна</t>
  </si>
  <si>
    <t>ВФЧ/ШВ/У/3233</t>
  </si>
  <si>
    <t>Семенюк Євгеній Ігорович</t>
  </si>
  <si>
    <t>ВФЧ/ШВ/У/3234</t>
  </si>
  <si>
    <t>Систук Анастасія Сергіївна</t>
  </si>
  <si>
    <t>ВФЧ/ШВ/У/3235</t>
  </si>
  <si>
    <t>Сістук Єлізавєта Андріївна</t>
  </si>
  <si>
    <t>ВФЧ/ШВ/У/3236</t>
  </si>
  <si>
    <t>Смірнов Олександр Олексійович</t>
  </si>
  <si>
    <t>ВФЧ/ШВ/У/3237</t>
  </si>
  <si>
    <t>Соболь Дар'я Володимирівна</t>
  </si>
  <si>
    <t>ВФЧ/ШВ/У/3238</t>
  </si>
  <si>
    <t>Стахова Єва Юріївна</t>
  </si>
  <si>
    <t>ВФЧ/ШВ/У/3239</t>
  </si>
  <si>
    <t>Табачук Діана Олександрівна</t>
  </si>
  <si>
    <t>ВФЧ/ШВ/У/3240</t>
  </si>
  <si>
    <t>Теслюк Дмитро Сергійович</t>
  </si>
  <si>
    <t>ВФЧ/ШВ/У/3241</t>
  </si>
  <si>
    <t>Ткачук Софія Василівна</t>
  </si>
  <si>
    <t>ВФЧ/ШВ/У/3242</t>
  </si>
  <si>
    <t>Хорко Соломія Михайлівна</t>
  </si>
  <si>
    <t>ВФЧ/ШВ/У/3243</t>
  </si>
  <si>
    <t>Чілій Євгеній Тарасович</t>
  </si>
  <si>
    <t>ВФЧ/ШВ/У/3244</t>
  </si>
  <si>
    <t>Шевчук Анастасія Василівна</t>
  </si>
  <si>
    <t>ВФЧ/ШВ/У/3245</t>
  </si>
  <si>
    <t>Шут Дарина Андріївна</t>
  </si>
  <si>
    <t>ВФЧ/ШВ/У/3246</t>
  </si>
  <si>
    <t>Ярош Анна Євгенівна</t>
  </si>
  <si>
    <t>ВФЧ/ШВ/У/3247</t>
  </si>
  <si>
    <t>Пошивак Ярина Ростиславівна</t>
  </si>
  <si>
    <t>ВФЧ/ШВ/У/3248</t>
  </si>
  <si>
    <t>КЗ "Студянський  ліцей"</t>
  </si>
  <si>
    <t>Кулібаба Тетяна Юріївна</t>
  </si>
  <si>
    <t>Бас Єлизавета Володимирівна</t>
  </si>
  <si>
    <t>ВФЧ/ШВ/У/3249</t>
  </si>
  <si>
    <t>Зведенюк Дар'я Юріївна</t>
  </si>
  <si>
    <t>ВФЧ/ШВ/У/3250</t>
  </si>
  <si>
    <t>Медвецька Софія Євгенівна</t>
  </si>
  <si>
    <t>ВФЧ/ШВ/У/3251</t>
  </si>
  <si>
    <t>Пінчук Анастасія Миколаївна</t>
  </si>
  <si>
    <t>ВФЧ/ШВ/У/3252</t>
  </si>
  <si>
    <t>Прихорчук Яна Андріївна</t>
  </si>
  <si>
    <t>ВФЧ/ШВ/У/3253</t>
  </si>
  <si>
    <t>Сухенко Софія Олександрівна</t>
  </si>
  <si>
    <t>ВФЧ/ШВ/У/3254</t>
  </si>
  <si>
    <t xml:space="preserve">Сарненський ліцей №5 Сарненської міської ради Сарненського району </t>
  </si>
  <si>
    <t>Сергійчук Ірина Анатоліївна</t>
  </si>
  <si>
    <t>Кузака Владислав Валерійович</t>
  </si>
  <si>
    <t>ВФЧ/ШВ/У/3255</t>
  </si>
  <si>
    <t>Карачун Олександр Романович</t>
  </si>
  <si>
    <t>ВФЧ/ШВ/У/3256</t>
  </si>
  <si>
    <t>Кобилінський Денис Юрійович</t>
  </si>
  <si>
    <t>ВФЧ/ШВ/У/3257</t>
  </si>
  <si>
    <t>Салівонов Матвій Анатолійович</t>
  </si>
  <si>
    <t>ВФЧ/ШВ/У/3258</t>
  </si>
  <si>
    <t>Роєнко Анатолій Віталійович</t>
  </si>
  <si>
    <t>ВФЧ/ШВ/У/3259</t>
  </si>
  <si>
    <t>Денисюк Іван Петрович</t>
  </si>
  <si>
    <t>ВФЧ/ШВ/У/3260</t>
  </si>
  <si>
    <t>Гощанський ліцей Гощанської селищної ради Рівненської області</t>
  </si>
  <si>
    <t>Харченко Любов Володимирівна</t>
  </si>
  <si>
    <t>Гоменюк Артем Тарасович</t>
  </si>
  <si>
    <t>ВФЧ/ШВ/У/3261</t>
  </si>
  <si>
    <t>Харченко Юрій Миколайович</t>
  </si>
  <si>
    <t>ВФЧ/ШВ/У/3262</t>
  </si>
  <si>
    <t>Радчук Захар Олександрович</t>
  </si>
  <si>
    <t>ВФЧ/ШВ/У/3263</t>
  </si>
  <si>
    <t>Мороз Софія Сергіївна</t>
  </si>
  <si>
    <t>ВФЧ/ШВ/У/3264</t>
  </si>
  <si>
    <t>Маманович Катерина Юріївна</t>
  </si>
  <si>
    <t>ВФЧ/ШВ/У/3265</t>
  </si>
  <si>
    <t>Решетняк Вікторія Сергіївна</t>
  </si>
  <si>
    <t>ВФЧ/ШВ/У/3266</t>
  </si>
  <si>
    <t>Сидорчук Владислав Васильович</t>
  </si>
  <si>
    <t>ВФЧ/ШВ/У/3267</t>
  </si>
  <si>
    <t>Гуменюк Інна Сергіївна</t>
  </si>
  <si>
    <t>ВФЧ/ШВ/У/3268</t>
  </si>
  <si>
    <t>Віюк Владислав Дмитрович</t>
  </si>
  <si>
    <t>ВФЧ/ШВ/У/3269</t>
  </si>
  <si>
    <t>Марчук Максим Валентинович</t>
  </si>
  <si>
    <t>ВФЧ/ШВ/У/3270</t>
  </si>
  <si>
    <t>Твердохліб Тетяна Ігорівна</t>
  </si>
  <si>
    <t>ВФЧ/ШВ/У/3271</t>
  </si>
  <si>
    <t>Дема Дарина Олександрівна</t>
  </si>
  <si>
    <t>ВФЧ/ШВ/У/3272</t>
  </si>
  <si>
    <t>Калько Роман Сергійович</t>
  </si>
  <si>
    <t>ВФЧ/ШВ/У/3273</t>
  </si>
  <si>
    <t>Євчук Сергій Андрійович</t>
  </si>
  <si>
    <t>ВФЧ/ШВ/У/3274</t>
  </si>
  <si>
    <t>Король Василь Сергійович</t>
  </si>
  <si>
    <t>ВФЧ/ШВ/У/3275</t>
  </si>
  <si>
    <t>Семещук Даніїл Ігорович</t>
  </si>
  <si>
    <t>ВФЧ/ШВ/У/3276</t>
  </si>
  <si>
    <t>Гордійчук Денис Орестович</t>
  </si>
  <si>
    <t>ВФЧ/ШВ/У/3277</t>
  </si>
  <si>
    <t>Андрощук Олександр Іванович</t>
  </si>
  <si>
    <t>ВФЧ/ШВ/У/3278</t>
  </si>
  <si>
    <t>КЗСОР "Конотопський обласний академічний ліцей "Лідер"</t>
  </si>
  <si>
    <t>Аптерман Олександр Йосипович</t>
  </si>
  <si>
    <t>Митіна Дар'я Артемівна</t>
  </si>
  <si>
    <t>ВФЧ/ШВ/У/3279</t>
  </si>
  <si>
    <t>Пшенічніков Максим Романович</t>
  </si>
  <si>
    <t>ВФЧ/ШВ/У/3280</t>
  </si>
  <si>
    <t>Конотопський ліцей №9 Конотопської міської ради Сумської області</t>
  </si>
  <si>
    <t>Леоненко Юлія Григорівна</t>
  </si>
  <si>
    <t>Лойко Поліна Олександрівна</t>
  </si>
  <si>
    <t>ВФЧ/ШВ/У/3281</t>
  </si>
  <si>
    <t>Журян Дмитро Віталійович</t>
  </si>
  <si>
    <t>ВФЧ/ШВ/У/3282</t>
  </si>
  <si>
    <t>Могила Аліна Андріївна</t>
  </si>
  <si>
    <t>ВФЧ/ШВ/У/3283</t>
  </si>
  <si>
    <t>Адамек Тетяна Юріївна</t>
  </si>
  <si>
    <t>ВФЧ/ШВ/У/3284</t>
  </si>
  <si>
    <t>Бондар Назар Олександрович</t>
  </si>
  <si>
    <t>ВФЧ/ШВ/У/3285</t>
  </si>
  <si>
    <t xml:space="preserve">Конотопський  ліцей  №3 Конотопської міської ради  Сумської області  </t>
  </si>
  <si>
    <t xml:space="preserve">Олех Анатолій  Петрович </t>
  </si>
  <si>
    <t>Пода  Вероніка  Володмирівна</t>
  </si>
  <si>
    <t>ВФЧ/ШВ/У/3286</t>
  </si>
  <si>
    <t>Савуцький  Ян  Олександрович</t>
  </si>
  <si>
    <t>ВФЧ/ШВ/У/3287</t>
  </si>
  <si>
    <t>Приходько Павло Олексійович</t>
  </si>
  <si>
    <t>ВФЧ/ШВ/У/3288</t>
  </si>
  <si>
    <t>Комунальна установа Сумська загальноосвітня школа I-III ступенів №27, м. Суми, Сумської області</t>
  </si>
  <si>
    <t>Пильчук Мирослава Вікторівна</t>
  </si>
  <si>
    <t>Моргун Карина Андріївна</t>
  </si>
  <si>
    <t>ВФЧ/ШВ/У/3289</t>
  </si>
  <si>
    <t>Сніжко Максим Олександрович</t>
  </si>
  <si>
    <t>ВФЧ/ШВ/У/3290</t>
  </si>
  <si>
    <t>Графова Анна Миколаївна</t>
  </si>
  <si>
    <t>ВФЧ/ШВ/У/3291</t>
  </si>
  <si>
    <t>Кохан Катерина Юріївна</t>
  </si>
  <si>
    <t>ВФЧ/ШВ/У/3292</t>
  </si>
  <si>
    <t>Лапін Іван Євгенович</t>
  </si>
  <si>
    <t>ВФЧ/ШВ/У/3293</t>
  </si>
  <si>
    <t>Сокрута Данііл Євгенович</t>
  </si>
  <si>
    <t>ВФЧ/ШВ/У/3294</t>
  </si>
  <si>
    <t>Плут Юлія Валеріївна</t>
  </si>
  <si>
    <t>ВФЧ/ШВ/У/3295</t>
  </si>
  <si>
    <t>Статівка Катерина Сергіївна</t>
  </si>
  <si>
    <t>ВФЧ/ШВ/У/3296</t>
  </si>
  <si>
    <t>Воловік Ксенія Сергіївна</t>
  </si>
  <si>
    <t>ВФЧ/ШВ/У/3297</t>
  </si>
  <si>
    <t>Картофілова Анастасія Юріївна</t>
  </si>
  <si>
    <t>ВФЧ/ШВ/У/3298</t>
  </si>
  <si>
    <t>Живодьор Ярослава Юріївна</t>
  </si>
  <si>
    <t>ВФЧ/ШВ/У/3299</t>
  </si>
  <si>
    <t>Грицаєнко Анастасія Євгеніївна</t>
  </si>
  <si>
    <t>ВФЧ/ШВ/У/3300</t>
  </si>
  <si>
    <t>Уварова Таміла Дмитрівна</t>
  </si>
  <si>
    <t>ВФЧ/ШВ/У/3301</t>
  </si>
  <si>
    <t>Ямпільський ліцей №2 Ямпільської селищної ради Сумської області</t>
  </si>
  <si>
    <t>Прокопенко Оксана Андріївна</t>
  </si>
  <si>
    <t>Богаєвський Владислав Михайлович</t>
  </si>
  <si>
    <t>ВФЧ/ШВ/У/3302</t>
  </si>
  <si>
    <t>Василенко Марія Олександрівна</t>
  </si>
  <si>
    <t>ВФЧ/ШВ/У/3303</t>
  </si>
  <si>
    <t>Клипа Марія Андріївна</t>
  </si>
  <si>
    <t>ВФЧ/ШВ/У/3304</t>
  </si>
  <si>
    <t>Ковальов Єгор Петрович</t>
  </si>
  <si>
    <t>ВФЧ/ШВ/У/3305</t>
  </si>
  <si>
    <t>Козуб Крістіна Антонівна</t>
  </si>
  <si>
    <t>ВФЧ/ШВ/У/3306</t>
  </si>
  <si>
    <t>Обиход Олександра Романівна</t>
  </si>
  <si>
    <t>ВФЧ/ШВ/У/3307</t>
  </si>
  <si>
    <t>Пальчик Оксана Сергіївна</t>
  </si>
  <si>
    <t>ВФЧ/ШВ/У/3308</t>
  </si>
  <si>
    <t>Рябуха Дана Сергіївна</t>
  </si>
  <si>
    <t>ВФЧ/ШВ/У/3309</t>
  </si>
  <si>
    <t>Суганяка Софія Віталіївна</t>
  </si>
  <si>
    <t>ВФЧ/ШВ/У/3310</t>
  </si>
  <si>
    <t>Щербина Ярослава Вікторівна</t>
  </si>
  <si>
    <t>ВФЧ/ШВ/У/3311</t>
  </si>
  <si>
    <t xml:space="preserve">Комунальна установа Сумська загальноосвітня школа І-ІІІ ступенів 4 імені Героя України Олександра Аніщенка Сумської міської ради </t>
  </si>
  <si>
    <t>Шапаренко Інна Жанівна</t>
  </si>
  <si>
    <t>Бузовський Кирило</t>
  </si>
  <si>
    <t>ВФЧ/ШВ/У/3312</t>
  </si>
  <si>
    <t>Казанов Матвій</t>
  </si>
  <si>
    <t>ВФЧ/ШВ/У/3313</t>
  </si>
  <si>
    <t>Чмихалов Кирило</t>
  </si>
  <si>
    <t>ВФЧ/ШВ/У/3314</t>
  </si>
  <si>
    <t>Тернопільська загальноосвітня школа І-ІІІ ступенів №19</t>
  </si>
  <si>
    <t>Антонюк Сергій Миколайович</t>
  </si>
  <si>
    <t> Бакай Вікторія</t>
  </si>
  <si>
    <t>ВФЧ/ШВ/У/3315</t>
  </si>
  <si>
    <t> Бевзюк Софія</t>
  </si>
  <si>
    <t>ВФЧ/ШВ/У/3316</t>
  </si>
  <si>
    <t> Гіль Олег</t>
  </si>
  <si>
    <t>ВФЧ/ШВ/У/3317</t>
  </si>
  <si>
    <t> Гладій Ангеліна</t>
  </si>
  <si>
    <t>ВФЧ/ШВ/У/3318</t>
  </si>
  <si>
    <t> Данилишин Даниїл</t>
  </si>
  <si>
    <t>ВФЧ/ШВ/У/3319</t>
  </si>
  <si>
    <t> Кузяк Валерій</t>
  </si>
  <si>
    <t>ВФЧ/ШВ/У/3320</t>
  </si>
  <si>
    <t> Кушнір Оксана</t>
  </si>
  <si>
    <t>ВФЧ/ШВ/У/3321</t>
  </si>
  <si>
    <t>Безпалько Марта</t>
  </si>
  <si>
    <t>ВФЧ/ШВ/У/3322</t>
  </si>
  <si>
    <t>Гладунець Віталіна</t>
  </si>
  <si>
    <t>ВФЧ/ШВ/У/3323</t>
  </si>
  <si>
    <t>Дедело Анастасія</t>
  </si>
  <si>
    <t>ВФЧ/ШВ/У/3324</t>
  </si>
  <si>
    <t>Камінська Марія</t>
  </si>
  <si>
    <t>ВФЧ/ШВ/У/3325</t>
  </si>
  <si>
    <t>Костик Дмитро</t>
  </si>
  <si>
    <t>ВФЧ/ШВ/У/3326</t>
  </si>
  <si>
    <t>Крисевич Артем</t>
  </si>
  <si>
    <t>ВФЧ/ШВ/У/3327</t>
  </si>
  <si>
    <t>Кузик Юлія</t>
  </si>
  <si>
    <t>ВФЧ/ШВ/У/3328</t>
  </si>
  <si>
    <t>Кузів Максим</t>
  </si>
  <si>
    <t>ВФЧ/ШВ/У/3329</t>
  </si>
  <si>
    <t>Літвінчук Максим</t>
  </si>
  <si>
    <t>ВФЧ/ШВ/У/3330</t>
  </si>
  <si>
    <t>Львівська Софія</t>
  </si>
  <si>
    <t>ВФЧ/ШВ/У/3331</t>
  </si>
  <si>
    <t>Максимкін Максим</t>
  </si>
  <si>
    <t>ВФЧ/ШВ/У/3332</t>
  </si>
  <si>
    <t>Мартинюк Вікторія</t>
  </si>
  <si>
    <t>ВФЧ/ШВ/У/3333</t>
  </si>
  <si>
    <t>Марценюк Микола</t>
  </si>
  <si>
    <t>ВФЧ/ШВ/У/3334</t>
  </si>
  <si>
    <t>Мачтієва Тіна</t>
  </si>
  <si>
    <t>ВФЧ/ШВ/У/3335</t>
  </si>
  <si>
    <t>Медвідь Давид</t>
  </si>
  <si>
    <t>ВФЧ/ШВ/У/3336</t>
  </si>
  <si>
    <t>Микитюк Микола</t>
  </si>
  <si>
    <t>ВФЧ/ШВ/У/3337</t>
  </si>
  <si>
    <t>Мисенко Аріна</t>
  </si>
  <si>
    <t>ВФЧ/ШВ/У/3338</t>
  </si>
  <si>
    <t>Мушенок Богдан</t>
  </si>
  <si>
    <t>ВФЧ/ШВ/У/3339</t>
  </si>
  <si>
    <t>Нагачівський Арсен</t>
  </si>
  <si>
    <t>ВФЧ/ШВ/У/3340</t>
  </si>
  <si>
    <t>Олійник Катерина</t>
  </si>
  <si>
    <t>ВФЧ/ШВ/У/3341</t>
  </si>
  <si>
    <t>Паляниця Софія</t>
  </si>
  <si>
    <t>ВФЧ/ШВ/У/3342</t>
  </si>
  <si>
    <t>П'єнтак Денис</t>
  </si>
  <si>
    <t>ВФЧ/ШВ/У/3343</t>
  </si>
  <si>
    <t>Порплиця Арсеній</t>
  </si>
  <si>
    <t>ВФЧ/ШВ/У/3344</t>
  </si>
  <si>
    <t>Проців Давид</t>
  </si>
  <si>
    <t>ВФЧ/ШВ/У/3345</t>
  </si>
  <si>
    <t>Пуціль Владислав</t>
  </si>
  <si>
    <t>ВФЧ/ШВ/У/3346</t>
  </si>
  <si>
    <t>Руда Аліна</t>
  </si>
  <si>
    <t>ВФЧ/ШВ/У/3347</t>
  </si>
  <si>
    <t>Сагановська Юлія</t>
  </si>
  <si>
    <t>ВФЧ/ШВ/У/3348</t>
  </si>
  <si>
    <t>Серман Олександр</t>
  </si>
  <si>
    <t>ВФЧ/ШВ/У/3349</t>
  </si>
  <si>
    <t>Сидор Данило</t>
  </si>
  <si>
    <t>ВФЧ/ШВ/У/3350</t>
  </si>
  <si>
    <t>Скрабут Валентина</t>
  </si>
  <si>
    <t>ВФЧ/ШВ/У/3351</t>
  </si>
  <si>
    <t>Слодзік Максим</t>
  </si>
  <si>
    <t>ВФЧ/ШВ/У/3352</t>
  </si>
  <si>
    <t>Смачило Анастасія</t>
  </si>
  <si>
    <t>ВФЧ/ШВ/У/3353</t>
  </si>
  <si>
    <t>Шостак Діана</t>
  </si>
  <si>
    <t>ВФЧ/ШВ/У/3354</t>
  </si>
  <si>
    <t>Бережанський ліцей Тернопільської обласної  ради</t>
  </si>
  <si>
    <t>Бридун Оксана Григорівна</t>
  </si>
  <si>
    <t>Безкоровайна Антоніна</t>
  </si>
  <si>
    <t>ВФЧ/ШВ/У/3355</t>
  </si>
  <si>
    <t>Бондаренко Анна</t>
  </si>
  <si>
    <t>ВФЧ/ШВ/У/3356</t>
  </si>
  <si>
    <t>Гайдук Ірина</t>
  </si>
  <si>
    <t>ВФЧ/ШВ/У/3357</t>
  </si>
  <si>
    <t>Гарагуц  Михайло</t>
  </si>
  <si>
    <t>ВФЧ/ШВ/У/3358</t>
  </si>
  <si>
    <t>Григорович Володимир</t>
  </si>
  <si>
    <t>ВФЧ/ШВ/У/3359</t>
  </si>
  <si>
    <t>Корчинська Діана</t>
  </si>
  <si>
    <t>ВФЧ/ШВ/У/3360</t>
  </si>
  <si>
    <t>Крамар Мирослав</t>
  </si>
  <si>
    <t>ВФЧ/ШВ/У/3361</t>
  </si>
  <si>
    <t>Лесів Павло</t>
  </si>
  <si>
    <t>ВФЧ/ШВ/У/3362</t>
  </si>
  <si>
    <t>Луговий Олександр</t>
  </si>
  <si>
    <t>ВФЧ/ШВ/У/3363</t>
  </si>
  <si>
    <t>Полюга Діана</t>
  </si>
  <si>
    <t>ВФЧ/ШВ/У/3364</t>
  </si>
  <si>
    <t>Прийдун Марта</t>
  </si>
  <si>
    <t>ВФЧ/ШВ/У/3365</t>
  </si>
  <si>
    <t>Пришляк Вікторія</t>
  </si>
  <si>
    <t>ВФЧ/ШВ/У/3366</t>
  </si>
  <si>
    <t>Рутковська Олена</t>
  </si>
  <si>
    <t>ВФЧ/ШВ/У/3367</t>
  </si>
  <si>
    <t>Хаба Діана</t>
  </si>
  <si>
    <t>ВФЧ/ШВ/У/3368</t>
  </si>
  <si>
    <t>Цімерман Юрій</t>
  </si>
  <si>
    <t>ВФЧ/ШВ/У/3369</t>
  </si>
  <si>
    <t>Юськів Юлія</t>
  </si>
  <si>
    <t>ВФЧ/ШВ/У/3370</t>
  </si>
  <si>
    <t>Остап'ївський заклад загальної середньої освіти Скалатської міської ради</t>
  </si>
  <si>
    <t>Кец Оксана Йосипівна</t>
  </si>
  <si>
    <t>Штельма Анастасія Павлівна</t>
  </si>
  <si>
    <t>ВФЧ/ШВ/У/3371</t>
  </si>
  <si>
    <t>Штельма Михайло Вікторович</t>
  </si>
  <si>
    <t>ВФЧ/ШВ/У/3372</t>
  </si>
  <si>
    <t>Вовк Руслан Петрович</t>
  </si>
  <si>
    <t>ВФЧ/ШВ/У/3373</t>
  </si>
  <si>
    <t>Константинович Софія Михайлівна</t>
  </si>
  <si>
    <t>ВФЧ/ШВ/У/3374</t>
  </si>
  <si>
    <t>Кочеткова Ангеліна Олегівна</t>
  </si>
  <si>
    <t>ВФЧ/ШВ/У/3375</t>
  </si>
  <si>
    <t>Опорний заклад Почаївська ЗОШ І-ІІІ ступенів</t>
  </si>
  <si>
    <t>Козак Людмила Миколаївна</t>
  </si>
  <si>
    <t>Щіпська Валерія</t>
  </si>
  <si>
    <t>ВФЧ/ШВ/У/3376</t>
  </si>
  <si>
    <t>Гринюк Єлизавета</t>
  </si>
  <si>
    <t>ВФЧ/ШВ/У/3377</t>
  </si>
  <si>
    <t>Гуцало Вікторія</t>
  </si>
  <si>
    <t>ВФЧ/ШВ/У/3378</t>
  </si>
  <si>
    <t>Жилюк Анастасія</t>
  </si>
  <si>
    <t>ВФЧ/ШВ/У/3379</t>
  </si>
  <si>
    <t>Черпалюк Ірина</t>
  </si>
  <si>
    <t>ВФЧ/ШВ/У/3380</t>
  </si>
  <si>
    <t>Крутяк Іов</t>
  </si>
  <si>
    <t>ВФЧ/ШВ/У/3381</t>
  </si>
  <si>
    <t>Паляниця Вікторія</t>
  </si>
  <si>
    <t>ВФЧ/ШВ/У/3382</t>
  </si>
  <si>
    <t>Галайчук Богдана</t>
  </si>
  <si>
    <t>ВФЧ/ШВ/У/3383</t>
  </si>
  <si>
    <t>Долинний Ілля</t>
  </si>
  <si>
    <t>ВФЧ/ШВ/У/3384</t>
  </si>
  <si>
    <t>Данилюк Дмитро</t>
  </si>
  <si>
    <t>ВФЧ/ШВ/У/3385</t>
  </si>
  <si>
    <t>Грішина Марта</t>
  </si>
  <si>
    <t>ВФЧ/ШВ/У/3386</t>
  </si>
  <si>
    <t>Кутефа Арсеній</t>
  </si>
  <si>
    <t>ВФЧ/ШВ/У/3387</t>
  </si>
  <si>
    <t>Нек Нікіта</t>
  </si>
  <si>
    <t>ВФЧ/ШВ/У/3388</t>
  </si>
  <si>
    <t>Цісар Анна</t>
  </si>
  <si>
    <t>ВФЧ/ШВ/У/3389</t>
  </si>
  <si>
    <t>Ліцей №1 м.Копичинці Копичинецької міської ради Чортківського району Тернопільської області</t>
  </si>
  <si>
    <t>Липка Оксана Романівна</t>
  </si>
  <si>
    <t>Грещук Дмитро Ігорович</t>
  </si>
  <si>
    <t>ВФЧ/ШВ/У/3390</t>
  </si>
  <si>
    <t>Чміль Володимир Віталійович</t>
  </si>
  <si>
    <t>ВФЧ/ШВ/У/3391</t>
  </si>
  <si>
    <t>Ковальов Антон Миколайович</t>
  </si>
  <si>
    <t>ВФЧ/ШВ/У/3392</t>
  </si>
  <si>
    <t>Дражньовська Аліна Ігорівна</t>
  </si>
  <si>
    <t>ВФЧ/ШВ/У/3393</t>
  </si>
  <si>
    <t>Лопушняк Андрій Ігорович</t>
  </si>
  <si>
    <t>ВФЧ/ШВ/У/3394</t>
  </si>
  <si>
    <t>Нарізький Святослав Вадимович</t>
  </si>
  <si>
    <t>ВФЧ/ШВ/У/3395</t>
  </si>
  <si>
    <t>Мураль Юлія Андріївна</t>
  </si>
  <si>
    <t>ВФЧ/ШВ/У/3396</t>
  </si>
  <si>
    <t>Кочмар Софія Іванівна</t>
  </si>
  <si>
    <t>ВФЧ/ШВ/У/3397</t>
  </si>
  <si>
    <t>Фріцька Діана Романівна</t>
  </si>
  <si>
    <t>ВФЧ/ШВ/У/3398</t>
  </si>
  <si>
    <t>Бойко Володимир Володимирович</t>
  </si>
  <si>
    <t>ВФЧ/ШВ/У/3399</t>
  </si>
  <si>
    <t>Витвицька Аліна Ігорівна</t>
  </si>
  <si>
    <t>ВФЧ/ШВ/У/3400</t>
  </si>
  <si>
    <t>Кулька Тетяна Ігорівна</t>
  </si>
  <si>
    <t>ВФЧ/ШВ/У/3401</t>
  </si>
  <si>
    <t>Тернопільська загальноосвітня школа №14 ім.Б.Лепкого</t>
  </si>
  <si>
    <t>Пасєка Наталія Іванівна</t>
  </si>
  <si>
    <t>Вапляк Яна Богданівна</t>
  </si>
  <si>
    <t>ВФЧ/ШВ/У/3402</t>
  </si>
  <si>
    <t>Кінах Вікторія Романівна</t>
  </si>
  <si>
    <t>ВФЧ/ШВ/У/3403</t>
  </si>
  <si>
    <t>Горішна Аліна Андріївна</t>
  </si>
  <si>
    <t>ВФЧ/ШВ/У/3404</t>
  </si>
  <si>
    <t>Нагірна Анастасія Андріївна</t>
  </si>
  <si>
    <t>ВФЧ/ШВ/У/3405</t>
  </si>
  <si>
    <t>Гірська Соломія Віталіївна</t>
  </si>
  <si>
    <t>ВФЧ/ШВ/У/3406</t>
  </si>
  <si>
    <t>Катрук Назар Сергійович</t>
  </si>
  <si>
    <t>ВФЧ/ШВ/У/3407</t>
  </si>
  <si>
    <t>Голоюха Олена Ігорівна</t>
  </si>
  <si>
    <t>ВФЧ/ШВ/У/3408</t>
  </si>
  <si>
    <t>Устімова Вікторія Павлівна</t>
  </si>
  <si>
    <t>ВФЧ/ШВ/У/3409</t>
  </si>
  <si>
    <t>Тернопільський класичний ліцей Тернопільської міської ради</t>
  </si>
  <si>
    <t>Романишин Ольга Миколаївна</t>
  </si>
  <si>
    <t>Середа Анна</t>
  </si>
  <si>
    <t>ВФЧ/ШВ/У/3410</t>
  </si>
  <si>
    <t>Ванкевич Аделіна</t>
  </si>
  <si>
    <t>ВФЧ/ШВ/У/3411</t>
  </si>
  <si>
    <t>Романюк Дар'я</t>
  </si>
  <si>
    <t>ВФЧ/ШВ/У/3412</t>
  </si>
  <si>
    <t>Дмитришин Тетяна</t>
  </si>
  <si>
    <t>ВФЧ/ШВ/У/3413</t>
  </si>
  <si>
    <t>Береш Олександра</t>
  </si>
  <si>
    <t>ВФЧ/ШВ/У/3414</t>
  </si>
  <si>
    <t>Леткий Марко</t>
  </si>
  <si>
    <t>ВФЧ/ШВ/У/3415</t>
  </si>
  <si>
    <t>Дармограй Денис</t>
  </si>
  <si>
    <t>ВФЧ/ШВ/У/3416</t>
  </si>
  <si>
    <t>Дригуш Денис</t>
  </si>
  <si>
    <t>ВФЧ/ШВ/У/3417</t>
  </si>
  <si>
    <t>Куртяк Анжеліка</t>
  </si>
  <si>
    <t>ВФЧ/ШВ/У/3418</t>
  </si>
  <si>
    <t>Даньків Роксолана</t>
  </si>
  <si>
    <t>ВФЧ/ШВ/У/3419</t>
  </si>
  <si>
    <t>Бібик Матвій</t>
  </si>
  <si>
    <t>ВФЧ/ШВ/У/3420</t>
  </si>
  <si>
    <t>Ногас Віктор</t>
  </si>
  <si>
    <t>ВФЧ/ШВ/У/3421</t>
  </si>
  <si>
    <t>Семерез Володимир</t>
  </si>
  <si>
    <t>ВФЧ/ШВ/У/3422</t>
  </si>
  <si>
    <t>Комунальний закладВеликоберезовицькийліцей  Великоберезовицької селищної ради Тернопільської  області Т</t>
  </si>
  <si>
    <t xml:space="preserve">Стодола Інна Вікторівна </t>
  </si>
  <si>
    <t>Книшевич Марія Ігорівна</t>
  </si>
  <si>
    <t>ВФЧ/ШВ/У/3423</t>
  </si>
  <si>
    <t>Тиравська Софія Андріївна</t>
  </si>
  <si>
    <t>ВФЧ/ШВ/У/3424</t>
  </si>
  <si>
    <t>Вищепан Тетяна Миколаївна</t>
  </si>
  <si>
    <t>ВФЧ/ШВ/У/3425</t>
  </si>
  <si>
    <t>Свирид Вероніка</t>
  </si>
  <si>
    <t>ВФЧ/ШВ/У/3426</t>
  </si>
  <si>
    <t>Данильчук Вікторія Русланівна</t>
  </si>
  <si>
    <t>ВФЧ/ШВ/У/3427</t>
  </si>
  <si>
    <t>Бережанський ліцей імені Віталія Скакуна</t>
  </si>
  <si>
    <t>Якимець Леся Василівна</t>
  </si>
  <si>
    <t>Чіх Діана</t>
  </si>
  <si>
    <t>ВФЧ/ШВ/У/3428</t>
  </si>
  <si>
    <t>Пусь Роман Марянович</t>
  </si>
  <si>
    <t>ВФЧ/ШВ/У/3429</t>
  </si>
  <si>
    <t>Голяш Віталій Андрійович</t>
  </si>
  <si>
    <t>ВФЧ/ШВ/У/3430</t>
  </si>
  <si>
    <t>Венгер Марта</t>
  </si>
  <si>
    <t>ВФЧ/ШВ/У/3431</t>
  </si>
  <si>
    <t>Головко Вікторія</t>
  </si>
  <si>
    <t>ВФЧ/ШВ/У/3432</t>
  </si>
  <si>
    <t>Попович Святослав</t>
  </si>
  <si>
    <t>ВФЧ/ШВ/У/3433</t>
  </si>
  <si>
    <t>Цибульський Сергій</t>
  </si>
  <si>
    <t>ВФЧ/ШВ/У/3434</t>
  </si>
  <si>
    <t>Черкашина Катерина</t>
  </si>
  <si>
    <t>ВФЧ/ШВ/У/3435</t>
  </si>
  <si>
    <t>Тимчак Віталій</t>
  </si>
  <si>
    <t>ВФЧ/ШВ/У/3436</t>
  </si>
  <si>
    <t>Поронович Олександр</t>
  </si>
  <si>
    <t>ВФЧ/ШВ/У/3437</t>
  </si>
  <si>
    <t>Котушко Святослав</t>
  </si>
  <si>
    <t>ВФЧ/ШВ/У/3438</t>
  </si>
  <si>
    <t>Курпіта Дмитро</t>
  </si>
  <si>
    <t>ВФЧ/ШВ/У/3439</t>
  </si>
  <si>
    <t>Місик Олександра</t>
  </si>
  <si>
    <t>ВФЧ/ШВ/У/3440</t>
  </si>
  <si>
    <t>КЗ "Харківський ліцей № 93 ХМР"</t>
  </si>
  <si>
    <t>Бєлоусова Світлана Володимирівна</t>
  </si>
  <si>
    <t>Буйнак Дарина Олександрівна</t>
  </si>
  <si>
    <t>ВФЧ/ШВ/У/3441</t>
  </si>
  <si>
    <t>Бондаренко Марія Валеріївна</t>
  </si>
  <si>
    <t>ВФЧ/ШВ/У/3442</t>
  </si>
  <si>
    <t>Гавриш Євген Олександрович</t>
  </si>
  <si>
    <t>ВФЧ/ШВ/У/3443</t>
  </si>
  <si>
    <t>Дзюба Кирило Андрійович</t>
  </si>
  <si>
    <t>ВФЧ/ШВ/У/3444</t>
  </si>
  <si>
    <t>Дугін Данило Дмитрович</t>
  </si>
  <si>
    <t>ВФЧ/ШВ/У/3445</t>
  </si>
  <si>
    <t>Зеневич Максим Сергійович</t>
  </si>
  <si>
    <t>ВФЧ/ШВ/У/3446</t>
  </si>
  <si>
    <t>Івахненко Єлизавета В’ячеславівна</t>
  </si>
  <si>
    <t>ВФЧ/ШВ/У/3447</t>
  </si>
  <si>
    <t>Козулін Артем Максимович</t>
  </si>
  <si>
    <t>ВФЧ/ШВ/У/3448</t>
  </si>
  <si>
    <t>Кононова Лада Олександрівна</t>
  </si>
  <si>
    <t>ВФЧ/ШВ/У/3449</t>
  </si>
  <si>
    <t>Кравченко Софія Андріївна</t>
  </si>
  <si>
    <t>ВФЧ/ШВ/У/3450</t>
  </si>
  <si>
    <t>Погребняк Олександра Богданівна</t>
  </si>
  <si>
    <t>ВФЧ/ШВ/У/3451</t>
  </si>
  <si>
    <t>Свінціцький Андрій Віталійович</t>
  </si>
  <si>
    <t>ВФЧ/ШВ/У/3452</t>
  </si>
  <si>
    <t>Удовіченко Ілона Володимирівна</t>
  </si>
  <si>
    <t>ВФЧ/ШВ/У/3453</t>
  </si>
  <si>
    <t>Хащина Світлана Дмитрівна</t>
  </si>
  <si>
    <t>ВФЧ/ШВ/У/3454</t>
  </si>
  <si>
    <t>Комунальний заклад «Харківський науковий ліцей "Обдарованість"» Харківської обласної ради</t>
  </si>
  <si>
    <t>Бордаєв Владислав Вікторович</t>
  </si>
  <si>
    <t>Савченко Софія Дмитрівна</t>
  </si>
  <si>
    <t>ВФЧ/ШВ/У/3455</t>
  </si>
  <si>
    <t>Кощей Олександр Олександрович</t>
  </si>
  <si>
    <t>ВФЧ/ШВ/У/3456</t>
  </si>
  <si>
    <t>Кішинська Анна Олександрівна</t>
  </si>
  <si>
    <t>ВФЧ/ШВ/У/3457</t>
  </si>
  <si>
    <t>Хрустенко Віра Сергіївна</t>
  </si>
  <si>
    <t>ВФЧ/ШВ/У/3458</t>
  </si>
  <si>
    <t>Кабакова Єлизавета Андріївна</t>
  </si>
  <si>
    <t>ВФЧ/ШВ/У/3459</t>
  </si>
  <si>
    <t>Губіна Дар'я Андріївна</t>
  </si>
  <si>
    <t>ВФЧ/ШВ/У/3460</t>
  </si>
  <si>
    <t>Ємець Олександра Сергіївна</t>
  </si>
  <si>
    <t>ВФЧ/ШВ/У/3461</t>
  </si>
  <si>
    <t>Ємець Таісія Сергіївна</t>
  </si>
  <si>
    <t>ВФЧ/ШВ/У/3462</t>
  </si>
  <si>
    <t>Осика Кира Юріївна</t>
  </si>
  <si>
    <t>ВФЧ/ШВ/У/3463</t>
  </si>
  <si>
    <t>Тимченко Софія Сергіївна</t>
  </si>
  <si>
    <t>ВФЧ/ШВ/У/3464</t>
  </si>
  <si>
    <t>Діденко Ілля Олександрович</t>
  </si>
  <si>
    <t>ВФЧ/ШВ/У/3465</t>
  </si>
  <si>
    <t>Кудінов Кирило Ігорович</t>
  </si>
  <si>
    <t>ВФЧ/ШВ/У/3466</t>
  </si>
  <si>
    <t>Піпко Єлизавета Валеріївна</t>
  </si>
  <si>
    <t>ВФЧ/ШВ/У/3467</t>
  </si>
  <si>
    <t>Брайко Кирило Васильович</t>
  </si>
  <si>
    <t>ВФЧ/ШВ/У/3468</t>
  </si>
  <si>
    <t>Лапшов Гліб Костянтинович</t>
  </si>
  <si>
    <t>ВФЧ/ШВ/У/3469</t>
  </si>
  <si>
    <t>Ліньова Катерина Олександрівна</t>
  </si>
  <si>
    <t>ВФЧ/ШВ/У/3470</t>
  </si>
  <si>
    <t>Дерев'янко Алевтина Олександрівна</t>
  </si>
  <si>
    <t>ВФЧ/ШВ/У/3471</t>
  </si>
  <si>
    <t>Шкуть Ліка Євгеніївна</t>
  </si>
  <si>
    <t>ВФЧ/ШВ/У/3472</t>
  </si>
  <si>
    <t>Птушкін Максим Андрійович</t>
  </si>
  <si>
    <t>ВФЧ/ШВ/У/3473</t>
  </si>
  <si>
    <t>Іванов Данило Вʼячеславович</t>
  </si>
  <si>
    <t>ВФЧ/ШВ/У/3474</t>
  </si>
  <si>
    <t>Мінуліна Лілія Володимирівна</t>
  </si>
  <si>
    <t>ВФЧ/ШВ/У/3475</t>
  </si>
  <si>
    <t>Подорожний Олег Вадимович</t>
  </si>
  <si>
    <t>ВФЧ/ШВ/У/3476</t>
  </si>
  <si>
    <t>Колесніченко Денис Анатолійович</t>
  </si>
  <si>
    <t>ВФЧ/ШВ/У/3477</t>
  </si>
  <si>
    <t>Литвин Данііл Романович</t>
  </si>
  <si>
    <t>ВФЧ/ШВ/У/3478</t>
  </si>
  <si>
    <t>Череватенко Денис Олегович</t>
  </si>
  <si>
    <t>ВФЧ/ШВ/У/3479</t>
  </si>
  <si>
    <t>Череватенко Максим Олегович</t>
  </si>
  <si>
    <t>ВФЧ/ШВ/У/3480</t>
  </si>
  <si>
    <t>Табашников Ярослав Сергійович</t>
  </si>
  <si>
    <t>ВФЧ/ШВ/У/3481</t>
  </si>
  <si>
    <t>Ковалевський Олексій Сергійович</t>
  </si>
  <si>
    <t>ВФЧ/ШВ/У/3482</t>
  </si>
  <si>
    <t>Чудна Поліна Сергіївна</t>
  </si>
  <si>
    <t>ВФЧ/ШВ/У/3483</t>
  </si>
  <si>
    <t>Шерстнюк Злата Олександрівна</t>
  </si>
  <si>
    <t>ВФЧ/ШВ/У/3484</t>
  </si>
  <si>
    <t>Герасимова Валерія Андріївна</t>
  </si>
  <si>
    <t>ВФЧ/ШВ/У/3485</t>
  </si>
  <si>
    <t>Сільченко Алевтина Валентинівна</t>
  </si>
  <si>
    <t>ВФЧ/ШВ/У/3486</t>
  </si>
  <si>
    <t>Осетрова Валерія Олексіївна</t>
  </si>
  <si>
    <t>ВФЧ/ШВ/У/3487</t>
  </si>
  <si>
    <t>Ніколенко Данило Андрійович</t>
  </si>
  <si>
    <t>ВФЧ/ШВ/У/3488</t>
  </si>
  <si>
    <t>Мельник Ігнат Васильович</t>
  </si>
  <si>
    <t>ВФЧ/ШВ/У/3489</t>
  </si>
  <si>
    <t>Федоркін Євгеній Юрійович</t>
  </si>
  <si>
    <t>ВФЧ/ШВ/У/3490</t>
  </si>
  <si>
    <t>Лозовський Вʼячеслав Станіславович</t>
  </si>
  <si>
    <t>ВФЧ/ШВ/У/3491</t>
  </si>
  <si>
    <t>Провоторов Святослав Олексійович</t>
  </si>
  <si>
    <t>ВФЧ/ШВ/У/3492</t>
  </si>
  <si>
    <t>Булах Владислава Олександрівна</t>
  </si>
  <si>
    <t>ВФЧ/ШВ/У/3493</t>
  </si>
  <si>
    <t>Маас Марія Михайлівна</t>
  </si>
  <si>
    <t>ВФЧ/ШВ/У/3494</t>
  </si>
  <si>
    <t>Златнік Андрій Русланович</t>
  </si>
  <si>
    <t>ВФЧ/ШВ/У/3495</t>
  </si>
  <si>
    <t>Олещенко Варвара Богданівна</t>
  </si>
  <si>
    <t>ВФЧ/ШВ/У/3496</t>
  </si>
  <si>
    <t>Омельяненко Андрій Павлович</t>
  </si>
  <si>
    <t>ВФЧ/ШВ/У/3497</t>
  </si>
  <si>
    <t>Попов Артем Ігорович</t>
  </si>
  <si>
    <t>ВФЧ/ШВ/У/3498</t>
  </si>
  <si>
    <t>Захаров Олександр Андрійович</t>
  </si>
  <si>
    <t>ВФЧ/ШВ/У/3499</t>
  </si>
  <si>
    <t>Лещенко Дмитро Андрійович</t>
  </si>
  <si>
    <t>ВФЧ/ШВ/У/3500</t>
  </si>
  <si>
    <t>Кузьмиченко Данііл Євгенович</t>
  </si>
  <si>
    <t>ВФЧ/ШВ/У/3501</t>
  </si>
  <si>
    <t>Левченко Ярослав Альбертович</t>
  </si>
  <si>
    <t>ВФЧ/ШВ/У/3502</t>
  </si>
  <si>
    <t>Рубцова Валерія Романівна</t>
  </si>
  <si>
    <t>ВФЧ/ШВ/У/3503</t>
  </si>
  <si>
    <t>Шалупенко Яна Миколаївна</t>
  </si>
  <si>
    <t>ВФЧ/ШВ/У/3504</t>
  </si>
  <si>
    <t>Бровко Іван Євгенович</t>
  </si>
  <si>
    <t>ВФЧ/ШВ/У/3505</t>
  </si>
  <si>
    <t>Сергієнко Ілля Олександрович</t>
  </si>
  <si>
    <t>ВФЧ/ШВ/У/3506</t>
  </si>
  <si>
    <t>Федоров Денис Юрійович</t>
  </si>
  <si>
    <t>ВФЧ/ШВ/У/3507</t>
  </si>
  <si>
    <t>Телешов Кирил Артемович</t>
  </si>
  <si>
    <t>ВФЧ/ШВ/У/3508</t>
  </si>
  <si>
    <t>Комар Євген Юрійович</t>
  </si>
  <si>
    <t>ВФЧ/ШВ/У/3509</t>
  </si>
  <si>
    <t>Ковтунов Михайло Артемович</t>
  </si>
  <si>
    <t>ВФЧ/ШВ/У/3510</t>
  </si>
  <si>
    <t>Комунальний заклад "Харківський ліцей № 58 Харківської міської ради"</t>
  </si>
  <si>
    <t>Борисенко Світлана Олександрівна</t>
  </si>
  <si>
    <t>Рубінський Даніл Володимирович</t>
  </si>
  <si>
    <t>ВФЧ/ШВ/У/3511</t>
  </si>
  <si>
    <t>Свістунова Анна Григорівна</t>
  </si>
  <si>
    <t>ВФЧ/ШВ/У/3512</t>
  </si>
  <si>
    <t>Сафонов Олександр Андрійович</t>
  </si>
  <si>
    <t>ВФЧ/ШВ/У/3513</t>
  </si>
  <si>
    <t>комунальний заклад "Харківський ліцей № 4 Харківської міської ради"</t>
  </si>
  <si>
    <t>Бутко Ольга Володимирівна</t>
  </si>
  <si>
    <t>Бондаренко Кирило Ростиславович</t>
  </si>
  <si>
    <t>ВФЧ/ШВ/У/3514</t>
  </si>
  <si>
    <t>Бадалова Олександра Мустаджабівна</t>
  </si>
  <si>
    <t>ВФЧ/ШВ/У/3515</t>
  </si>
  <si>
    <t>Руденко-Реус Руслан Валентинович</t>
  </si>
  <si>
    <t>ВФЧ/ШВ/У/3516</t>
  </si>
  <si>
    <t>Бойко Софія Дмитрівна</t>
  </si>
  <si>
    <t>ВФЧ/ШВ/У/3517</t>
  </si>
  <si>
    <t>Парамонова Вікторія Олександрівна</t>
  </si>
  <si>
    <t>ВФЧ/ШВ/У/3518</t>
  </si>
  <si>
    <t>Шелест Дар'я Владиславівна</t>
  </si>
  <si>
    <t>ВФЧ/ШВ/У/3519</t>
  </si>
  <si>
    <t>комунальний заклад "Харківський ліцей № 64 Харківської міської ради"</t>
  </si>
  <si>
    <t>Ємельянова Лідія Іванівна</t>
  </si>
  <si>
    <t>Губський Тимур Юрійович</t>
  </si>
  <si>
    <t>ВФЧ/ШВ/У/3520</t>
  </si>
  <si>
    <t>Алафін Кирило Русланович</t>
  </si>
  <si>
    <t>ВФЧ/ШВ/У/3521</t>
  </si>
  <si>
    <t>Зазерiн Олександр Олександрович</t>
  </si>
  <si>
    <t>ВФЧ/ШВ/У/3522</t>
  </si>
  <si>
    <t>Вяла Анна Валеріївна</t>
  </si>
  <si>
    <t>ВФЧ/ШВ/У/3523</t>
  </si>
  <si>
    <t>Бабакіна Софія Володимирівна</t>
  </si>
  <si>
    <t>ВФЧ/ШВ/У/3524</t>
  </si>
  <si>
    <t>Данченко Данило Олександрович</t>
  </si>
  <si>
    <t>ВФЧ/ШВ/У/3525</t>
  </si>
  <si>
    <t>Квасова Олександра Анатоліївна</t>
  </si>
  <si>
    <t>ВФЧ/ШВ/У/3526</t>
  </si>
  <si>
    <t>Лук'янов Максим Олександрович</t>
  </si>
  <si>
    <t>ВФЧ/ШВ/У/3527</t>
  </si>
  <si>
    <t>Назаренко Вероніка Ігорівна</t>
  </si>
  <si>
    <t>ВФЧ/ШВ/У/3528</t>
  </si>
  <si>
    <t>Поясков Микита Денисович</t>
  </si>
  <si>
    <t>ВФЧ/ШВ/У/3529</t>
  </si>
  <si>
    <t>Чабанюк Олена Петрівна</t>
  </si>
  <si>
    <t>ВФЧ/ШВ/У/3530</t>
  </si>
  <si>
    <t>Чабанюк Яна Петрівна</t>
  </si>
  <si>
    <t>ВФЧ/ШВ/У/3531</t>
  </si>
  <si>
    <t>Алєксєєва Поліна Сергіївна</t>
  </si>
  <si>
    <t>ВФЧ/ШВ/У/3532</t>
  </si>
  <si>
    <t>Бусяк Маргарита Сергіївна</t>
  </si>
  <si>
    <t>ВФЧ/ШВ/У/3533</t>
  </si>
  <si>
    <t>Градова Поліна Романівна</t>
  </si>
  <si>
    <t>ВФЧ/ШВ/У/3534</t>
  </si>
  <si>
    <t>Манько Даніїл Андрійович</t>
  </si>
  <si>
    <t>ВФЧ/ШВ/У/3535</t>
  </si>
  <si>
    <t>Мінаєв Микита Євгенович</t>
  </si>
  <si>
    <t>ВФЧ/ШВ/У/3536</t>
  </si>
  <si>
    <t>Муленко Олександра Анатоліївна</t>
  </si>
  <si>
    <t>ВФЧ/ШВ/У/3537</t>
  </si>
  <si>
    <t>Пандаров Владислав Миколайович</t>
  </si>
  <si>
    <t>ВФЧ/ШВ/У/3538</t>
  </si>
  <si>
    <t>Руднев Єгор Ігорович</t>
  </si>
  <si>
    <t>ВФЧ/ШВ/У/3539</t>
  </si>
  <si>
    <t>Самотой Софія Віталіївна</t>
  </si>
  <si>
    <t>ВФЧ/ШВ/У/3540</t>
  </si>
  <si>
    <t>Тутов Максим Юрійович</t>
  </si>
  <si>
    <t>ВФЧ/ШВ/У/3541</t>
  </si>
  <si>
    <t>ПРИВАТНИЙ ЗАКЛАД ЗАГАЛЬНОЇ СЕРЕДНЬОЇ ОСВІТИ "ХАРКІВСЬКИЙ ЛІЦЕЙ "ІТ СТЕП СКУЛ ХАРКІВ"" ХАРКІВСЬКОЇ ОБЛАСТІ</t>
  </si>
  <si>
    <t>Зайцева Ірина Олександрівна</t>
  </si>
  <si>
    <t>Алєксєєва Анна Ігорівна</t>
  </si>
  <si>
    <t>ВФЧ/ШВ/У/3542</t>
  </si>
  <si>
    <t>Аніщенко Марія Олександрівна</t>
  </si>
  <si>
    <t>ВФЧ/ШВ/У/3543</t>
  </si>
  <si>
    <t>Біличок Евеліна Сергіївна</t>
  </si>
  <si>
    <t>ВФЧ/ШВ/У/3544</t>
  </si>
  <si>
    <t>Бобров Микита Євгенович</t>
  </si>
  <si>
    <t>ВФЧ/ШВ/У/3545</t>
  </si>
  <si>
    <t>Захаров Даніїл Михайлович</t>
  </si>
  <si>
    <t>ВФЧ/ШВ/У/3546</t>
  </si>
  <si>
    <t>Київський Олексій Віталійович</t>
  </si>
  <si>
    <t>ВФЧ/ШВ/У/3547</t>
  </si>
  <si>
    <t>Корх Данило Дмитрович</t>
  </si>
  <si>
    <t>ВФЧ/ШВ/У/3548</t>
  </si>
  <si>
    <t>Павленко Поліна Євгеніївна</t>
  </si>
  <si>
    <t>ВФЧ/ШВ/У/3549</t>
  </si>
  <si>
    <t>Рожков Лука Володимирович</t>
  </si>
  <si>
    <t>ВФЧ/ШВ/У/3550</t>
  </si>
  <si>
    <t>Черкашенінов Давид Євгенович</t>
  </si>
  <si>
    <t>ВФЧ/ШВ/У/3551</t>
  </si>
  <si>
    <t>Чубов Данило Дмитрович</t>
  </si>
  <si>
    <t>ВФЧ/ШВ/У/3552</t>
  </si>
  <si>
    <t>Комунальний заклад "Харківський ліцей № 157 Харківської міської ради"</t>
  </si>
  <si>
    <t>Коваленко Тетяна Федорівна</t>
  </si>
  <si>
    <t>Єрмакова Катерина Сергіївна</t>
  </si>
  <si>
    <t>ВФЧ/ШВ/У/3553</t>
  </si>
  <si>
    <t>Шпітальна Валерія Михайлівна</t>
  </si>
  <si>
    <t>ВФЧ/ШВ/У/3554</t>
  </si>
  <si>
    <t>Скридлевська Катерина Андріївна</t>
  </si>
  <si>
    <t>ВФЧ/ШВ/У/3555</t>
  </si>
  <si>
    <t>Тоболкіна Діана Станіславівна</t>
  </si>
  <si>
    <t>ВФЧ/ШВ/У/3556</t>
  </si>
  <si>
    <t>Синякіна Марія Костянтинівна</t>
  </si>
  <si>
    <t>ВФЧ/ШВ/У/3557</t>
  </si>
  <si>
    <t>Андрущенко Анна Вікторівна</t>
  </si>
  <si>
    <t>ВФЧ/ШВ/У/3558</t>
  </si>
  <si>
    <t xml:space="preserve">Комунальний заклад "Харківський ліцей №156 Харківської міської ради" </t>
  </si>
  <si>
    <t>Коноваленко Ігор Вікторович</t>
  </si>
  <si>
    <t>Поляниця Ірина Іваніна</t>
  </si>
  <si>
    <t>ВФЧ/ШВ/У/3559</t>
  </si>
  <si>
    <t>Шнейдерман Михайло Ілліч</t>
  </si>
  <si>
    <t>ВФЧ/ШВ/У/3560</t>
  </si>
  <si>
    <t>Курманов Максим Дмитрович</t>
  </si>
  <si>
    <t>ВФЧ/ШВ/У/3561</t>
  </si>
  <si>
    <t>Амельченко Мілена Максимівна</t>
  </si>
  <si>
    <t>ВФЧ/ШВ/У/3562</t>
  </si>
  <si>
    <t>Борцова Марі Сергіївна</t>
  </si>
  <si>
    <t>ВФЧ/ШВ/У/3563</t>
  </si>
  <si>
    <t>Ващенко Уляна Миколаївна</t>
  </si>
  <si>
    <t>ВФЧ/ШВ/У/3564</t>
  </si>
  <si>
    <t>Головченко Матвій Миколайович</t>
  </si>
  <si>
    <t>ВФЧ/ШВ/У/3565</t>
  </si>
  <si>
    <t>Косенков Дмитро Сергійович</t>
  </si>
  <si>
    <t>ВФЧ/ШВ/У/3566</t>
  </si>
  <si>
    <t>Мороз Володимир Володимирович</t>
  </si>
  <si>
    <t>ВФЧ/ШВ/У/3567</t>
  </si>
  <si>
    <t>Небувайло Владислав Віталійович</t>
  </si>
  <si>
    <t>ВФЧ/ШВ/У/3568</t>
  </si>
  <si>
    <t>Пінаєв Кирило Олегович</t>
  </si>
  <si>
    <t>ВФЧ/ШВ/У/3569</t>
  </si>
  <si>
    <t>Потапенков Ігор Миколайович</t>
  </si>
  <si>
    <t>ВФЧ/ШВ/У/3570</t>
  </si>
  <si>
    <t>Присоцька Вероніка Богданівна</t>
  </si>
  <si>
    <t>ВФЧ/ШВ/У/3571</t>
  </si>
  <si>
    <t>Сардженянц Софі Сергіївна</t>
  </si>
  <si>
    <t>ВФЧ/ШВ/У/3572</t>
  </si>
  <si>
    <t>Трофіменко Антон Олександрович</t>
  </si>
  <si>
    <t>ВФЧ/ШВ/У/3573</t>
  </si>
  <si>
    <t>Чужданова Софія Павлівна</t>
  </si>
  <si>
    <t>ВФЧ/ШВ/У/3574</t>
  </si>
  <si>
    <t>Шуліка Антон Андрійович</t>
  </si>
  <si>
    <t>ВФЧ/ШВ/У/3575</t>
  </si>
  <si>
    <t>Андрєєв Єгор Олексійович</t>
  </si>
  <si>
    <t>ВФЧ/ШВ/У/3576</t>
  </si>
  <si>
    <t>Глубаковський Єгор Дмитрович</t>
  </si>
  <si>
    <t>ВФЧ/ШВ/У/3577</t>
  </si>
  <si>
    <t>Заїченко Артем Вадимович</t>
  </si>
  <si>
    <t>ВФЧ/ШВ/У/3578</t>
  </si>
  <si>
    <t>Каменнік Анастасія Володимирівна</t>
  </si>
  <si>
    <t>ВФЧ/ШВ/У/3579</t>
  </si>
  <si>
    <t>Каща Олексій Борисович</t>
  </si>
  <si>
    <t>ВФЧ/ШВ/У/3580</t>
  </si>
  <si>
    <t>Казімов Тельман Анар огли</t>
  </si>
  <si>
    <t>ВФЧ/ШВ/У/3581</t>
  </si>
  <si>
    <t>Махмудова Аміна Ісламівна</t>
  </si>
  <si>
    <t>ВФЧ/ШВ/У/3582</t>
  </si>
  <si>
    <t>Моїсєєнко Максим Сергійович</t>
  </si>
  <si>
    <t>ВФЧ/ШВ/У/3583</t>
  </si>
  <si>
    <t>Петрікіна Марія Володимирівна</t>
  </si>
  <si>
    <t>ВФЧ/ШВ/У/3584</t>
  </si>
  <si>
    <t>Сергієнко Анастасія Сергіївна</t>
  </si>
  <si>
    <t>ВФЧ/ШВ/У/3585</t>
  </si>
  <si>
    <t>Середенко Іван Андрійович</t>
  </si>
  <si>
    <t>ВФЧ/ШВ/У/3586</t>
  </si>
  <si>
    <t>Тіхоніна Кіра Артемівна</t>
  </si>
  <si>
    <t>ВФЧ/ШВ/У/3587</t>
  </si>
  <si>
    <t>Хоменко Данило Іванович</t>
  </si>
  <si>
    <t>ВФЧ/ШВ/У/3588</t>
  </si>
  <si>
    <t>Барилко Микита Сергійович</t>
  </si>
  <si>
    <t>ВФЧ/ШВ/У/3589</t>
  </si>
  <si>
    <t>Богатиренко Борис Сергійович</t>
  </si>
  <si>
    <t>ВФЧ/ШВ/У/3590</t>
  </si>
  <si>
    <t>Борсук Таїсія Сергіївна</t>
  </si>
  <si>
    <t>ВФЧ/ШВ/У/3591</t>
  </si>
  <si>
    <t>Брічак Таїсія Олександрівна</t>
  </si>
  <si>
    <t>ВФЧ/ШВ/У/3592</t>
  </si>
  <si>
    <t>Ведмедів Кіріл Олександрович</t>
  </si>
  <si>
    <t>ВФЧ/ШВ/У/3593</t>
  </si>
  <si>
    <t>Гармата Марія Дмитрівна</t>
  </si>
  <si>
    <t>ВФЧ/ШВ/У/3594</t>
  </si>
  <si>
    <t>Коробейник Ліана Віталіївна</t>
  </si>
  <si>
    <t>ВФЧ/ШВ/У/3595</t>
  </si>
  <si>
    <t>Купріянов Данило  Сергійович</t>
  </si>
  <si>
    <t>ВФЧ/ШВ/У/3596</t>
  </si>
  <si>
    <t>Лазарєв Дмитро Олександрович</t>
  </si>
  <si>
    <t>ВФЧ/ШВ/У/3597</t>
  </si>
  <si>
    <t>Лебедєва Софія Олександрівна</t>
  </si>
  <si>
    <t>ВФЧ/ШВ/У/3598</t>
  </si>
  <si>
    <t>Недух Дмитро Сергійович</t>
  </si>
  <si>
    <t>ВФЧ/ШВ/У/3599</t>
  </si>
  <si>
    <t>Овечкін Владислав Віталійович</t>
  </si>
  <si>
    <t>ВФЧ/ШВ/У/3600</t>
  </si>
  <si>
    <t>Ослам Іван Віталійович</t>
  </si>
  <si>
    <t>ВФЧ/ШВ/У/3601</t>
  </si>
  <si>
    <t>Плеханова Софія Юріївна</t>
  </si>
  <si>
    <t>ВФЧ/ШВ/У/3602</t>
  </si>
  <si>
    <t>Радучіч Олена Олександрівна</t>
  </si>
  <si>
    <t>ВФЧ/ШВ/У/3603</t>
  </si>
  <si>
    <t>Федоркова Софія Костянтинівна</t>
  </si>
  <si>
    <t>ВФЧ/ШВ/У/3604</t>
  </si>
  <si>
    <t>комунальний заклад "Харківський ліцей №163 Харківської міської ради"</t>
  </si>
  <si>
    <t>Кравченко Анна Олексіївна</t>
  </si>
  <si>
    <t>Бабич Артем Сергійович</t>
  </si>
  <si>
    <t>ВФЧ/ШВ/У/3605</t>
  </si>
  <si>
    <t>Брильов Савелій Євгенович</t>
  </si>
  <si>
    <t>ВФЧ/ШВ/У/3606</t>
  </si>
  <si>
    <t>Булатова Жанна Денисівна</t>
  </si>
  <si>
    <t>ВФЧ/ШВ/У/3607</t>
  </si>
  <si>
    <t>Васильєв Артем Ігорович</t>
  </si>
  <si>
    <t>ВФЧ/ШВ/У/3608</t>
  </si>
  <si>
    <t>Воробйов Кирило Артемович</t>
  </si>
  <si>
    <t>ВФЧ/ШВ/У/3609</t>
  </si>
  <si>
    <t>Гур’єва Катерина Андріївна</t>
  </si>
  <si>
    <t>ВФЧ/ШВ/У/3610</t>
  </si>
  <si>
    <t>Даниленко Ірина Володимирівна</t>
  </si>
  <si>
    <t>ВФЧ/ШВ/У/3611</t>
  </si>
  <si>
    <t>Зінченко Владислав Сергійович</t>
  </si>
  <si>
    <t>ВФЧ/ШВ/У/3612</t>
  </si>
  <si>
    <t>Ігнатенко Маргарита Денисівна</t>
  </si>
  <si>
    <t>ВФЧ/ШВ/У/3613</t>
  </si>
  <si>
    <t>Клепікова Маргарита Вікторівна</t>
  </si>
  <si>
    <t>ВФЧ/ШВ/У/3614</t>
  </si>
  <si>
    <t>Ковтун Леонід Сергійович</t>
  </si>
  <si>
    <t>ВФЧ/ШВ/У/3615</t>
  </si>
  <si>
    <t>Маслов Максим Вячеславович</t>
  </si>
  <si>
    <t>ВФЧ/ШВ/У/3616</t>
  </si>
  <si>
    <t>Матвієнко Вероніка Євгенівна</t>
  </si>
  <si>
    <t>ВФЧ/ШВ/У/3617</t>
  </si>
  <si>
    <t>Медведєв Дмитро Євгенійович</t>
  </si>
  <si>
    <t>ВФЧ/ШВ/У/3618</t>
  </si>
  <si>
    <t>Рекотова Міла Дмитріївна</t>
  </si>
  <si>
    <t>ВФЧ/ШВ/У/3619</t>
  </si>
  <si>
    <t>Рогозенко Анастасія Віталіївна</t>
  </si>
  <si>
    <t>ВФЧ/ШВ/У/3620</t>
  </si>
  <si>
    <t>Рюмшин Владислав Артурович</t>
  </si>
  <si>
    <t>ВФЧ/ШВ/У/3621</t>
  </si>
  <si>
    <t>Сиренков Андрій Валерійович</t>
  </si>
  <si>
    <t>ВФЧ/ШВ/У/3622</t>
  </si>
  <si>
    <t>Старікова Кіра Юріївна</t>
  </si>
  <si>
    <t>ВФЧ/ШВ/У/3623</t>
  </si>
  <si>
    <t>Тимошенко Тимофій Артемович</t>
  </si>
  <si>
    <t>ВФЧ/ШВ/У/3624</t>
  </si>
  <si>
    <t>Фатеєва Катерина Вікторівна</t>
  </si>
  <si>
    <t>ВФЧ/ШВ/У/3625</t>
  </si>
  <si>
    <t>Шевченко Єва Ігорівна</t>
  </si>
  <si>
    <t>ВФЧ/ШВ/У/3626</t>
  </si>
  <si>
    <t>Белевець Кіра Олександрівна</t>
  </si>
  <si>
    <t>ВФЧ/ШВ/У/3627</t>
  </si>
  <si>
    <t>Березіна Ольга Денисівна</t>
  </si>
  <si>
    <t>ВФЧ/ШВ/У/3628</t>
  </si>
  <si>
    <t>Биковський Ілля Валерійович</t>
  </si>
  <si>
    <t>ВФЧ/ШВ/У/3629</t>
  </si>
  <si>
    <t>Бублик Варвара Сергіївна</t>
  </si>
  <si>
    <t>ВФЧ/ШВ/У/3630</t>
  </si>
  <si>
    <t>Глуховський Дмитро Олександрович</t>
  </si>
  <si>
    <t>ВФЧ/ШВ/У/3631</t>
  </si>
  <si>
    <t>Головченко Софія Дмитрівна</t>
  </si>
  <si>
    <t>ВФЧ/ШВ/У/3632</t>
  </si>
  <si>
    <t>Жидких Максим Дмитрович</t>
  </si>
  <si>
    <t>ВФЧ/ШВ/У/3633</t>
  </si>
  <si>
    <t>Каськова Вікторія Сергіївна</t>
  </si>
  <si>
    <t>ВФЧ/ШВ/У/3634</t>
  </si>
  <si>
    <t>Козлов Антон Олександрович</t>
  </si>
  <si>
    <t>ВФЧ/ШВ/У/3635</t>
  </si>
  <si>
    <t>Котєльніков Денис Євгенович</t>
  </si>
  <si>
    <t>ВФЧ/ШВ/У/3636</t>
  </si>
  <si>
    <t>Кустов Єгор Максимович</t>
  </si>
  <si>
    <t>ВФЧ/ШВ/У/3637</t>
  </si>
  <si>
    <t>Литвиненко  Ярослав Сергійович</t>
  </si>
  <si>
    <t>ВФЧ/ШВ/У/3638</t>
  </si>
  <si>
    <t>Маміна Кира Дмитрівна</t>
  </si>
  <si>
    <t>ВФЧ/ШВ/У/3639</t>
  </si>
  <si>
    <t>Мартишина Олеся Андріївна</t>
  </si>
  <si>
    <t>ВФЧ/ШВ/У/3640</t>
  </si>
  <si>
    <t>Менжулов Михайло Олександрович</t>
  </si>
  <si>
    <t>ВФЧ/ШВ/У/3641</t>
  </si>
  <si>
    <t>Падалка Олеся Сергіївна</t>
  </si>
  <si>
    <t>ВФЧ/ШВ/У/3642</t>
  </si>
  <si>
    <t>Паламарчук Максим Сергійович</t>
  </si>
  <si>
    <t>ВФЧ/ШВ/У/3643</t>
  </si>
  <si>
    <t>Пастухова Альона Олександрівна</t>
  </si>
  <si>
    <t>ВФЧ/ШВ/У/3644</t>
  </si>
  <si>
    <t>Пилипчук Андрій Андрійович</t>
  </si>
  <si>
    <t>ВФЧ/ШВ/У/3645</t>
  </si>
  <si>
    <t>Пухир Валерія Ігорівна</t>
  </si>
  <si>
    <t>ВФЧ/ШВ/У/3646</t>
  </si>
  <si>
    <t>Рибакова Вікторія Сергіївна</t>
  </si>
  <si>
    <t>ВФЧ/ШВ/У/3647</t>
  </si>
  <si>
    <t>Рябець Анастасія Вячеславівна</t>
  </si>
  <si>
    <t>ВФЧ/ШВ/У/3648</t>
  </si>
  <si>
    <t>Ткаченко Ілля Романович</t>
  </si>
  <si>
    <t>ВФЧ/ШВ/У/3649</t>
  </si>
  <si>
    <t>Франіца Дар’я Артемівна</t>
  </si>
  <si>
    <t>ВФЧ/ШВ/У/3650</t>
  </si>
  <si>
    <t>Ходєєва Марія Олександрівна</t>
  </si>
  <si>
    <t>ВФЧ/ШВ/У/3651</t>
  </si>
  <si>
    <t>Шаповалов Микита Олексійович</t>
  </si>
  <si>
    <t>ВФЧ/ШВ/У/3652</t>
  </si>
  <si>
    <t>Шепеленко Артем Дмитрович</t>
  </si>
  <si>
    <t>ВФЧ/ШВ/У/3653</t>
  </si>
  <si>
    <t>Яненко Вероніка Сергіївна</t>
  </si>
  <si>
    <t>ВФЧ/ШВ/У/3654</t>
  </si>
  <si>
    <t>Харківський ліцей # 147</t>
  </si>
  <si>
    <t>Ляхівненко Людмила Володимирівна</t>
  </si>
  <si>
    <t>ВФЧ/ШВ/У/3655</t>
  </si>
  <si>
    <t>ВФЧ/ШВ/У/3656</t>
  </si>
  <si>
    <t>ВФЧ/ШВ/У/3657</t>
  </si>
  <si>
    <t>ВФЧ/ШВ/У/3658</t>
  </si>
  <si>
    <t>ВФЧ/ШВ/У/3659</t>
  </si>
  <si>
    <t>комунальний заклад "Харківський ліцей №141 Харківської міської ради"</t>
  </si>
  <si>
    <t>Махамат Світлана Василівна</t>
  </si>
  <si>
    <t>Білозерова Анастасія Данилівна</t>
  </si>
  <si>
    <t>ВФЧ/ШВ/У/3660</t>
  </si>
  <si>
    <t>Букрєєв Ярослав Олексійович</t>
  </si>
  <si>
    <t>ВФЧ/ШВ/У/3661</t>
  </si>
  <si>
    <t>Маляров Артем Муратович</t>
  </si>
  <si>
    <t>ВФЧ/ШВ/У/3662</t>
  </si>
  <si>
    <t>Ставицька Дарина Олександрівна</t>
  </si>
  <si>
    <t>ВФЧ/ШВ/У/3663</t>
  </si>
  <si>
    <t>Долгодуш Володимир Михайлович</t>
  </si>
  <si>
    <t>ВФЧ/ШВ/У/3664</t>
  </si>
  <si>
    <t>Клєц Матвій Ігорович</t>
  </si>
  <si>
    <t>ВФЧ/ШВ/У/3665</t>
  </si>
  <si>
    <t>Григоренко Владислав Євгенович</t>
  </si>
  <si>
    <t>ВФЧ/ШВ/У/3666</t>
  </si>
  <si>
    <t>Зуєв Андрій Сергійович</t>
  </si>
  <si>
    <t>ВФЧ/ШВ/У/3667</t>
  </si>
  <si>
    <t>Голобородько Микола Олександрович</t>
  </si>
  <si>
    <t>ВФЧ/ШВ/У/3668</t>
  </si>
  <si>
    <t>Зайцев Євген Євгенович</t>
  </si>
  <si>
    <t>ВФЧ/ШВ/У/3669</t>
  </si>
  <si>
    <t>Завгородня Євгенія Денисівна</t>
  </si>
  <si>
    <t>ВФЧ/ШВ/У/3670</t>
  </si>
  <si>
    <t>Маруф Алеся</t>
  </si>
  <si>
    <t>ВФЧ/ШВ/У/3671</t>
  </si>
  <si>
    <t>Антонова Діана Владиславівна</t>
  </si>
  <si>
    <t>ВФЧ/ШВ/У/3672</t>
  </si>
  <si>
    <t>Дергун Віолета Миколаївна</t>
  </si>
  <si>
    <t>ВФЧ/ШВ/У/3673</t>
  </si>
  <si>
    <t>комунальний заклад "Харківський ліцей № 20 Харківської міської ради"</t>
  </si>
  <si>
    <t>Нечаєва-Носова Оксана Олександрівна</t>
  </si>
  <si>
    <t>Дмитренко Поліна Вячеславівна</t>
  </si>
  <si>
    <t>ВФЧ/ШВ/У/3674</t>
  </si>
  <si>
    <t>Мороз Дарина Денисівна</t>
  </si>
  <si>
    <t>ВФЧ/ШВ/У/3675</t>
  </si>
  <si>
    <t>Комунальний заклад "Есхарівський ліцей" Новопокровської селищної ради Чугуївського району Харківської області</t>
  </si>
  <si>
    <t>Семерик Олександра Сергіївна</t>
  </si>
  <si>
    <t>Жидков Матвій Віталійович</t>
  </si>
  <si>
    <t>ВФЧ/ШВ/У/3676</t>
  </si>
  <si>
    <t>Комунальний заклад "Шелестівський ліцей Коломацької селищної ради Богодухівського району Харківської області"</t>
  </si>
  <si>
    <t xml:space="preserve">Тороні Валентина Миколаївна </t>
  </si>
  <si>
    <t>Кальницька Вікторія Євгенівна</t>
  </si>
  <si>
    <t>ВФЧ/ШВ/У/3677</t>
  </si>
  <si>
    <t>Лябах Аліна Ікрамівна</t>
  </si>
  <si>
    <t>ВФЧ/ШВ/У/3678</t>
  </si>
  <si>
    <t>Комунальний заклад Харківський ліцей № 139 Харківської міської ради</t>
  </si>
  <si>
    <t>Шумаков Олексій Сергійович</t>
  </si>
  <si>
    <t>Догадаєва Анна Михайлівна</t>
  </si>
  <si>
    <t>ВФЧ/ШВ/У/3679</t>
  </si>
  <si>
    <t>Рихлицька Дарина Іванівна</t>
  </si>
  <si>
    <t>ВФЧ/ШВ/У/3680</t>
  </si>
  <si>
    <t>Головченко Кирилл Олегович</t>
  </si>
  <si>
    <t>ВФЧ/ШВ/У/3681</t>
  </si>
  <si>
    <t>Говоров Владислав Денисович</t>
  </si>
  <si>
    <t>ВФЧ/ШВ/У/3682</t>
  </si>
  <si>
    <t>Забіяка Вероніка Володимирівна</t>
  </si>
  <si>
    <t>ВФЧ/ШВ/У/3683</t>
  </si>
  <si>
    <t>Суббота Анастасія Денисівна</t>
  </si>
  <si>
    <t>ВФЧ/ШВ/У/3684</t>
  </si>
  <si>
    <t>Гладков Єгор  Дмитрович</t>
  </si>
  <si>
    <t>ВФЧ/ШВ/У/3685</t>
  </si>
  <si>
    <t>Ліцей №3 Новокаховської міської ради</t>
  </si>
  <si>
    <t>Батрак Аліна Русланівна</t>
  </si>
  <si>
    <t>Гольдфельд Уляна Іллівна</t>
  </si>
  <si>
    <t>ВФЧ/ШВ/У/3686</t>
  </si>
  <si>
    <t>Ващенко Ілля Олександрович</t>
  </si>
  <si>
    <t>ВФЧ/ШВ/У/3687</t>
  </si>
  <si>
    <t>Заткальницький Нікіта Юрійович</t>
  </si>
  <si>
    <t>ВФЧ/ШВ/У/3688</t>
  </si>
  <si>
    <t>Парасочка Діана Олександрівна</t>
  </si>
  <si>
    <t>ВФЧ/ШВ/У/3689</t>
  </si>
  <si>
    <t>Новокиївський навчально-виховний комплекс "загальноосвітній навчальний заклад І-ІІІ ступенів-дошкільний навчальний заклад" Каланчацької селищної ради Херсонської області</t>
  </si>
  <si>
    <t>Василенко Юлія Олександрівна</t>
  </si>
  <si>
    <t>Богдан Емілія Володимирівна</t>
  </si>
  <si>
    <t>ВФЧ/ШВ/У/3690</t>
  </si>
  <si>
    <t>Каленський Дмитро Дмитрович</t>
  </si>
  <si>
    <t>ВФЧ/ШВ/У/3691</t>
  </si>
  <si>
    <t>Корень Маргарита Олександрівна</t>
  </si>
  <si>
    <t>ВФЧ/ШВ/У/3692</t>
  </si>
  <si>
    <t>Савченко Анастасія Сергіївна</t>
  </si>
  <si>
    <t>ВФЧ/ШВ/У/3693</t>
  </si>
  <si>
    <t xml:space="preserve">Херсонська загальноосвітня школа І-ІІІ ступенів №39 "Школа-родина" Херсонської міської ради </t>
  </si>
  <si>
    <t>Голобородько Микола Володимирович</t>
  </si>
  <si>
    <t>Балабас Сабіна Сергіївна</t>
  </si>
  <si>
    <t>ВФЧ/ШВ/У/3694</t>
  </si>
  <si>
    <t>Смирнов Даніїл Ярославович</t>
  </si>
  <si>
    <t>ВФЧ/ШВ/У/3695</t>
  </si>
  <si>
    <t>Мельниченко Дар'я Сергіївна</t>
  </si>
  <si>
    <t>ВФЧ/ШВ/У/3696</t>
  </si>
  <si>
    <t>Ничипорук Оксана Олександрівна</t>
  </si>
  <si>
    <t>ВФЧ/ШВ/У/3697</t>
  </si>
  <si>
    <t>Херсонський науковий ліцей Херсонської обласної ради</t>
  </si>
  <si>
    <t>Кнорр Юлія Володимирівна</t>
  </si>
  <si>
    <t>Чеботнікова Аліса Дмитрівна</t>
  </si>
  <si>
    <t>ВФЧ/ШВ/У/3698</t>
  </si>
  <si>
    <t>Васильева Катерина Костянтинівна</t>
  </si>
  <si>
    <t>ВФЧ/ШВ/У/3699</t>
  </si>
  <si>
    <t>Гридіна Юлія Петрівна</t>
  </si>
  <si>
    <t>ВФЧ/ШВ/У/3700</t>
  </si>
  <si>
    <t>Олексій Андрійович Довбуш</t>
  </si>
  <si>
    <t>ВФЧ/ШВ/У/3701</t>
  </si>
  <si>
    <t>Анастасія Романівна Романюк</t>
  </si>
  <si>
    <t>ВФЧ/ШВ/У/3702</t>
  </si>
  <si>
    <t>Іван Романович Токаренко</t>
  </si>
  <si>
    <t>ВФЧ/ШВ/У/3703</t>
  </si>
  <si>
    <t>Вікторія Ігорівна Білясова</t>
  </si>
  <si>
    <t>ВФЧ/ШВ/У/3704</t>
  </si>
  <si>
    <t>Гієш Каріна Олександрівна</t>
  </si>
  <si>
    <t>ВФЧ/ШВ/У/3705</t>
  </si>
  <si>
    <t>Діана Віталіївна Коробко</t>
  </si>
  <si>
    <t>ВФЧ/ШВ/У/3706</t>
  </si>
  <si>
    <t>Анастасія Василівна  Микитась</t>
  </si>
  <si>
    <t>ВФЧ/ШВ/У/3707</t>
  </si>
  <si>
    <t>Юлія Олександрівна Панченко</t>
  </si>
  <si>
    <t>ВФЧ/ШВ/У/3708</t>
  </si>
  <si>
    <t>Трунова Вікторія Максимівна</t>
  </si>
  <si>
    <t>ВФЧ/ШВ/У/3709</t>
  </si>
  <si>
    <t>Альона Сергіївна Гайдаш</t>
  </si>
  <si>
    <t>ВФЧ/ШВ/У/3710</t>
  </si>
  <si>
    <t>Ельвіра Костянтинівна Гайдученко</t>
  </si>
  <si>
    <t>ВФЧ/ШВ/У/3711</t>
  </si>
  <si>
    <t>Ксенія Анатоліївна Фертак</t>
  </si>
  <si>
    <t>ВФЧ/ШВ/У/3712</t>
  </si>
  <si>
    <t>Поліна Володимирівна Хованська</t>
  </si>
  <si>
    <t>ВФЧ/ШВ/У/3713</t>
  </si>
  <si>
    <t>Філіппов Євгеній Олександрович</t>
  </si>
  <si>
    <t>ВФЧ/ШВ/У/3714</t>
  </si>
  <si>
    <t>Бабенко Артем Геннадійович</t>
  </si>
  <si>
    <t>ВФЧ/ШВ/У/3715</t>
  </si>
  <si>
    <t>Трюхан Артем Сергійович</t>
  </si>
  <si>
    <t>ВФЧ/ШВ/У/3716</t>
  </si>
  <si>
    <t>Копилов Володимир Олександрович</t>
  </si>
  <si>
    <t>ВФЧ/ШВ/У/3717</t>
  </si>
  <si>
    <t>Чуклов Гліб Станіславович</t>
  </si>
  <si>
    <t>ВФЧ/ШВ/У/3718</t>
  </si>
  <si>
    <t>Коломієць Давид Олександрович</t>
  </si>
  <si>
    <t>ВФЧ/ШВ/У/3719</t>
  </si>
  <si>
    <t>Терещенко Дмитро Валентинович</t>
  </si>
  <si>
    <t>ВФЧ/ШВ/У/3720</t>
  </si>
  <si>
    <t>Рябуха Катерина Іванівна</t>
  </si>
  <si>
    <t>ВФЧ/ШВ/У/3721</t>
  </si>
  <si>
    <t>Камакін Лев Андрійович</t>
  </si>
  <si>
    <t>ВФЧ/ШВ/У/3722</t>
  </si>
  <si>
    <t>Малига Нікіта Ігорович</t>
  </si>
  <si>
    <t>ВФЧ/ШВ/У/3723</t>
  </si>
  <si>
    <t>Святослав Ортинський Орестович</t>
  </si>
  <si>
    <t>ВФЧ/ШВ/У/3724</t>
  </si>
  <si>
    <t>Безруков Роман Валентинович</t>
  </si>
  <si>
    <t>ВФЧ/ШВ/У/3725</t>
  </si>
  <si>
    <t>Пєшик Світлана Василівна</t>
  </si>
  <si>
    <t>ВФЧ/ШВ/У/3726</t>
  </si>
  <si>
    <t>Коршок Тимофій Анатолійович</t>
  </si>
  <si>
    <t>ВФЧ/ШВ/У/3727</t>
  </si>
  <si>
    <t>Богдан Сергійович Безух</t>
  </si>
  <si>
    <t>ВФЧ/ШВ/У/3728</t>
  </si>
  <si>
    <t>Пошивай Валерій Андрійович</t>
  </si>
  <si>
    <t>ВФЧ/ШВ/У/3729</t>
  </si>
  <si>
    <t>Сергій Олександрович Горбачов</t>
  </si>
  <si>
    <t>ВФЧ/ШВ/У/3730</t>
  </si>
  <si>
    <t>Пилип Дмитро Сергійович</t>
  </si>
  <si>
    <t>ВФЧ/ШВ/У/3731</t>
  </si>
  <si>
    <t>Маргарита Євгеніївна Довженко</t>
  </si>
  <si>
    <t>ВФЧ/ШВ/У/3732</t>
  </si>
  <si>
    <t>Захар Володимирович Перепелиця</t>
  </si>
  <si>
    <t>ВФЧ/ШВ/У/3733</t>
  </si>
  <si>
    <t>Владислав Максимович Таран</t>
  </si>
  <si>
    <t>ВФЧ/ШВ/У/3734</t>
  </si>
  <si>
    <t>Павло Олександрович Тариця</t>
  </si>
  <si>
    <t>ВФЧ/ШВ/У/3735</t>
  </si>
  <si>
    <t>Даниїл Сергійович Шавкутенко</t>
  </si>
  <si>
    <t>ВФЧ/ШВ/У/3736</t>
  </si>
  <si>
    <t>Ростислав Олексійович Щедрий</t>
  </si>
  <si>
    <t>ВФЧ/ШВ/У/3737</t>
  </si>
  <si>
    <t>Ліцей №1 імені О.П.Довженка Новокаховської міської ради Херсонської області</t>
  </si>
  <si>
    <t>Питько Тетяна Сергіївна</t>
  </si>
  <si>
    <t>Гурбіна Єлизавета Євгеніївна</t>
  </si>
  <si>
    <t>ВФЧ/ШВ/У/3738</t>
  </si>
  <si>
    <t>Бут Дмитро Володимирович</t>
  </si>
  <si>
    <t>ВФЧ/ШВ/У/3739</t>
  </si>
  <si>
    <t>Новицький Захар Віталійович</t>
  </si>
  <si>
    <t>ВФЧ/ШВ/У/3740</t>
  </si>
  <si>
    <t>Романович Данііл Олександрович</t>
  </si>
  <si>
    <t>ВФЧ/ШВ/У/3741</t>
  </si>
  <si>
    <t>Христенко Богдан Сергійович</t>
  </si>
  <si>
    <t>ВФЧ/ШВ/У/3742</t>
  </si>
  <si>
    <t>Шурнюк Максим Юрійович</t>
  </si>
  <si>
    <t>ВФЧ/ШВ/У/3743</t>
  </si>
  <si>
    <t>Кубарєв Дмитро Сергійович</t>
  </si>
  <si>
    <t>ВФЧ/ШВ/У/3744</t>
  </si>
  <si>
    <t>Рязанцев Артем Сергійович</t>
  </si>
  <si>
    <t>ВФЧ/ШВ/У/3745</t>
  </si>
  <si>
    <t>комунальний заклад загальної середньої освіти "Ліцей №3 імені Артема Мазура Хмельницької міської ради"</t>
  </si>
  <si>
    <t>Зима Наталія Володимирівна</t>
  </si>
  <si>
    <t>Бабак Максим Олегович</t>
  </si>
  <si>
    <t>ВФЧ/ШВ/У/3746</t>
  </si>
  <si>
    <t>Берестень Костянтин Олександрович</t>
  </si>
  <si>
    <t>ВФЧ/ШВ/У/3747</t>
  </si>
  <si>
    <t>Веселовський Юрій Васильович</t>
  </si>
  <si>
    <t>ВФЧ/ШВ/У/3748</t>
  </si>
  <si>
    <t>Гладун Артур Дмитрович</t>
  </si>
  <si>
    <t>ВФЧ/ШВ/У/3749</t>
  </si>
  <si>
    <t>Долгий Олексій Олекссандрович</t>
  </si>
  <si>
    <t>ВФЧ/ШВ/У/3750</t>
  </si>
  <si>
    <t>Есен Еврім Німетуллах</t>
  </si>
  <si>
    <t>ВФЧ/ШВ/У/3751</t>
  </si>
  <si>
    <t>Євров Тимур Романович</t>
  </si>
  <si>
    <t>ВФЧ/ШВ/У/3752</t>
  </si>
  <si>
    <t>Клінчук Анна Сергіївна</t>
  </si>
  <si>
    <t>ВФЧ/ШВ/У/3753</t>
  </si>
  <si>
    <t>Кучерук Максим Русланович</t>
  </si>
  <si>
    <t>ВФЧ/ШВ/У/3754</t>
  </si>
  <si>
    <t>Куш Олександр Сергійович</t>
  </si>
  <si>
    <t>ВФЧ/ШВ/У/3755</t>
  </si>
  <si>
    <t>Матвеєва Крістіна Павлівна</t>
  </si>
  <si>
    <t>ВФЧ/ШВ/У/3756</t>
  </si>
  <si>
    <t>Пістолюк Вікторія Олексіївна</t>
  </si>
  <si>
    <t>ВФЧ/ШВ/У/3757</t>
  </si>
  <si>
    <t>Равлюк Владислав Віталійович</t>
  </si>
  <si>
    <t>ВФЧ/ШВ/У/3758</t>
  </si>
  <si>
    <t>Свєнткова Дарія Ігорівна</t>
  </si>
  <si>
    <t>ВФЧ/ШВ/У/3759</t>
  </si>
  <si>
    <t>Сторожук Артем Андрійович</t>
  </si>
  <si>
    <t>ВФЧ/ШВ/У/3760</t>
  </si>
  <si>
    <t>Ткачук Роман Русланович</t>
  </si>
  <si>
    <t>ВФЧ/ШВ/У/3761</t>
  </si>
  <si>
    <t>Хоманець Матвій Валерійович</t>
  </si>
  <si>
    <t>ВФЧ/ШВ/У/3762</t>
  </si>
  <si>
    <t>Шеремета Анна Вадимівна</t>
  </si>
  <si>
    <t>ВФЧ/ШВ/У/3763</t>
  </si>
  <si>
    <t>Щепінський Владислав Олексійович</t>
  </si>
  <si>
    <t>ВФЧ/ШВ/У/3764</t>
  </si>
  <si>
    <t>Юха Єлизавета Миколаївна</t>
  </si>
  <si>
    <t>ВФЧ/ШВ/У/3765</t>
  </si>
  <si>
    <t>Янушевський Богдан Андрійович</t>
  </si>
  <si>
    <t>ВФЧ/ШВ/У/3766</t>
  </si>
  <si>
    <t>Хмельницький ліцей Хмельницької обласної ради</t>
  </si>
  <si>
    <t>Кулик Раїса Іванівна</t>
  </si>
  <si>
    <t>Абельчук Соломія</t>
  </si>
  <si>
    <t>ВФЧ/ШВ/У/3767</t>
  </si>
  <si>
    <t>Барабаш Вікторія Андріївна</t>
  </si>
  <si>
    <t>ВФЧ/ШВ/У/3768</t>
  </si>
  <si>
    <t>Барибін Назар Андрійович</t>
  </si>
  <si>
    <t>ВФЧ/ШВ/У/3769</t>
  </si>
  <si>
    <t>Більська Вероніка Олександрівна</t>
  </si>
  <si>
    <t>ВФЧ/ШВ/У/3770</t>
  </si>
  <si>
    <t>Везденецький Олександр</t>
  </si>
  <si>
    <t>ВФЧ/ШВ/У/3771</t>
  </si>
  <si>
    <t>Вовк Дарія Віталіївна</t>
  </si>
  <si>
    <t>ВФЧ/ШВ/У/3772</t>
  </si>
  <si>
    <t>Волков Артем Віталійович</t>
  </si>
  <si>
    <t>ВФЧ/ШВ/У/3773</t>
  </si>
  <si>
    <t>Газда Захар Ігорович</t>
  </si>
  <si>
    <t>ВФЧ/ШВ/У/3774</t>
  </si>
  <si>
    <t>Глобчастий Костянтин</t>
  </si>
  <si>
    <t>ВФЧ/ШВ/У/3775</t>
  </si>
  <si>
    <t>Горох Павло Юрійович</t>
  </si>
  <si>
    <t>ВФЧ/ШВ/У/3776</t>
  </si>
  <si>
    <t>Гура Катерина Олександрівна</t>
  </si>
  <si>
    <t>ВФЧ/ШВ/У/3777</t>
  </si>
  <si>
    <t>Данілов Михайло Володимирович</t>
  </si>
  <si>
    <t>ВФЧ/ШВ/У/3778</t>
  </si>
  <si>
    <t>Діденко Діана Анатоліївна</t>
  </si>
  <si>
    <t>ВФЧ/ШВ/У/3779</t>
  </si>
  <si>
    <t>Думка Вікторія Володимирівна</t>
  </si>
  <si>
    <t>ВФЧ/ШВ/У/3780</t>
  </si>
  <si>
    <t>Єримішина Єлизавета Володимирівна</t>
  </si>
  <si>
    <t>ВФЧ/ШВ/У/3781</t>
  </si>
  <si>
    <t>Журковський Олександр Олександрович</t>
  </si>
  <si>
    <t>ВФЧ/ШВ/У/3782</t>
  </si>
  <si>
    <t>Заєць Ілля Миколайович</t>
  </si>
  <si>
    <t>ВФЧ/ШВ/У/3783</t>
  </si>
  <si>
    <t>Зиза Назар Олександрович</t>
  </si>
  <si>
    <t>ВФЧ/ШВ/У/3784</t>
  </si>
  <si>
    <t>Іванюк Володимир Ігорович</t>
  </si>
  <si>
    <t>ВФЧ/ШВ/У/3785</t>
  </si>
  <si>
    <t>Капуш Матвій</t>
  </si>
  <si>
    <t>ВФЧ/ШВ/У/3786</t>
  </si>
  <si>
    <t>Китайчук Олександр</t>
  </si>
  <si>
    <t>ВФЧ/ШВ/У/3787</t>
  </si>
  <si>
    <t>Ковпак Назарій Васильович</t>
  </si>
  <si>
    <t>ВФЧ/ШВ/У/3788</t>
  </si>
  <si>
    <t>Коломієць Платон Ігорович</t>
  </si>
  <si>
    <t>ВФЧ/ШВ/У/3789</t>
  </si>
  <si>
    <t>Король Артем Володимирович</t>
  </si>
  <si>
    <t>ВФЧ/ШВ/У/3790</t>
  </si>
  <si>
    <t>Кравець Єлізавета Петрівна</t>
  </si>
  <si>
    <t>ВФЧ/ШВ/У/3791</t>
  </si>
  <si>
    <t>Курлянцева Анастасія</t>
  </si>
  <si>
    <t>ВФЧ/ШВ/У/3792</t>
  </si>
  <si>
    <t>Лук'янчук Євгенія Василівна</t>
  </si>
  <si>
    <t>ВФЧ/ШВ/У/3793</t>
  </si>
  <si>
    <t>Люта Ульяна Миколаївна</t>
  </si>
  <si>
    <t>ВФЧ/ШВ/У/3794</t>
  </si>
  <si>
    <t>Манзенюк Юліана</t>
  </si>
  <si>
    <t>ВФЧ/ШВ/У/3795</t>
  </si>
  <si>
    <t>Матвійчук Владислав Андрійович</t>
  </si>
  <si>
    <t>ВФЧ/ШВ/У/3796</t>
  </si>
  <si>
    <t>Миколюк Захар</t>
  </si>
  <si>
    <t>ВФЧ/ШВ/У/3797</t>
  </si>
  <si>
    <t>Молодовська Вероніка Сергіївна</t>
  </si>
  <si>
    <t>ВФЧ/ШВ/У/3798</t>
  </si>
  <si>
    <t>Мороз Софія Володимирівна</t>
  </si>
  <si>
    <t>ВФЧ/ШВ/У/3799</t>
  </si>
  <si>
    <t>Недбальський Ельдар</t>
  </si>
  <si>
    <t>ВФЧ/ШВ/У/3800</t>
  </si>
  <si>
    <t>Ничипорчук Максим Миколайович</t>
  </si>
  <si>
    <t>ВФЧ/ШВ/У/3801</t>
  </si>
  <si>
    <t>Омельчук Надія Петрівна</t>
  </si>
  <si>
    <t>ВФЧ/ШВ/У/3802</t>
  </si>
  <si>
    <t>Перчишина Соломія Антонівна</t>
  </si>
  <si>
    <t>ВФЧ/ШВ/У/3803</t>
  </si>
  <si>
    <t>Плясун Анастасія Юріївнадіденко</t>
  </si>
  <si>
    <t>ВФЧ/ШВ/У/3804</t>
  </si>
  <si>
    <t>Поморова Софія Русланівна</t>
  </si>
  <si>
    <t>ВФЧ/ШВ/У/3805</t>
  </si>
  <si>
    <t>Ратушний Владислав Володимирович</t>
  </si>
  <si>
    <t>ВФЧ/ШВ/У/3806</t>
  </si>
  <si>
    <t>Ружицький Данило Максимович</t>
  </si>
  <si>
    <t>ВФЧ/ШВ/У/3807</t>
  </si>
  <si>
    <t>Смутко Максим Анатолійович</t>
  </si>
  <si>
    <t>ВФЧ/ШВ/У/3808</t>
  </si>
  <si>
    <t>Сорока Софія Андріївна</t>
  </si>
  <si>
    <t>ВФЧ/ШВ/У/3809</t>
  </si>
  <si>
    <t>Токарчук Костянтин Миколайович</t>
  </si>
  <si>
    <t>ВФЧ/ШВ/У/3810</t>
  </si>
  <si>
    <t>Цинік Ольга Костянтинівна</t>
  </si>
  <si>
    <t>ВФЧ/ШВ/У/3811</t>
  </si>
  <si>
    <t>Шевель Юрій Дмитрович</t>
  </si>
  <si>
    <t>ВФЧ/ШВ/У/3812</t>
  </si>
  <si>
    <t>Шуляк Віктор Олександрович</t>
  </si>
  <si>
    <t>ВФЧ/ШВ/У/3813</t>
  </si>
  <si>
    <t>Юхимець Дмитро Олександрович</t>
  </si>
  <si>
    <t>ВФЧ/ШВ/У/3814</t>
  </si>
  <si>
    <t>Язвінська Вікторія</t>
  </si>
  <si>
    <t>ВФЧ/ШВ/У/3815</t>
  </si>
  <si>
    <t>Яцків Нестор</t>
  </si>
  <si>
    <t>ВФЧ/ШВ/У/3816</t>
  </si>
  <si>
    <t>КЗЗСО Ліцей 1 імені Володимира Красицького Хмельницької міської ради</t>
  </si>
  <si>
    <t>Надобко Оксана Григорівна</t>
  </si>
  <si>
    <t>Дзяний Святослав Іванович</t>
  </si>
  <si>
    <t>ВФЧ/ШВ/У/3817</t>
  </si>
  <si>
    <t>Алєксєєва Валерія Олександрівна</t>
  </si>
  <si>
    <t>ВФЧ/ШВ/У/3818</t>
  </si>
  <si>
    <t>Корягін Олег Анатолійович</t>
  </si>
  <si>
    <t>ВФЧ/ШВ/У/3819</t>
  </si>
  <si>
    <t>Белан Вероніка Іванівна</t>
  </si>
  <si>
    <t>ВФЧ/ШВ/У/3820</t>
  </si>
  <si>
    <t>Савишин Ярослав Анатолійович</t>
  </si>
  <si>
    <t>ВФЧ/ШВ/У/3821</t>
  </si>
  <si>
    <t>Туржанська Дарина</t>
  </si>
  <si>
    <t>ВФЧ/ШВ/У/3822</t>
  </si>
  <si>
    <t>Пасічник Святослав Олександрович</t>
  </si>
  <si>
    <t>ВФЧ/ШВ/У/3823</t>
  </si>
  <si>
    <t>Яніцька Софія Радиславівна</t>
  </si>
  <si>
    <t>ВФЧ/ШВ/У/3824</t>
  </si>
  <si>
    <t>Глушко Владислав Вікторович</t>
  </si>
  <si>
    <t>ВФЧ/ШВ/У/3825</t>
  </si>
  <si>
    <t>Загурська Діана Валеріївна</t>
  </si>
  <si>
    <t>ВФЧ/ШВ/У/3826</t>
  </si>
  <si>
    <t>Горбунова Марія</t>
  </si>
  <si>
    <t>ВФЧ/ШВ/У/3827</t>
  </si>
  <si>
    <t>Михайлюцький ліцей Михайлюцької сільської ради Шепетівського району Хмельницької області</t>
  </si>
  <si>
    <t>Поліщук Марія Анатоліївна</t>
  </si>
  <si>
    <t>Тирон Микола Олександрович</t>
  </si>
  <si>
    <t>ВФЧ/ШВ/У/3828</t>
  </si>
  <si>
    <t>Тирон Михайло Олександрович</t>
  </si>
  <si>
    <t>ВФЧ/ШВ/У/3829</t>
  </si>
  <si>
    <t>Роговський Олександр Олексійович</t>
  </si>
  <si>
    <t>ВФЧ/ШВ/У/3830</t>
  </si>
  <si>
    <t>Славутський ліцей Хмельницької обласної ради</t>
  </si>
  <si>
    <t>Семенюк Галина Миколаївна</t>
  </si>
  <si>
    <t>Чернецька Катерина Сергіївна</t>
  </si>
  <si>
    <t>ВФЧ/ШВ/У/3831</t>
  </si>
  <si>
    <t>Шпак Юлія Володимирівна</t>
  </si>
  <si>
    <t>ВФЧ/ШВ/У/3832</t>
  </si>
  <si>
    <t>Семенюк Анна Ігорівна</t>
  </si>
  <si>
    <t>ВФЧ/ШВ/У/3833</t>
  </si>
  <si>
    <t>Поліщук Софія Дмитрівна</t>
  </si>
  <si>
    <t>ВФЧ/ШВ/У/3834</t>
  </si>
  <si>
    <t>Ліцей №15 імені Олександра Співачука міста Хмельницького</t>
  </si>
  <si>
    <t>Скицюк Ірина Вікторівна</t>
  </si>
  <si>
    <t>Парієв Микита Сергійович</t>
  </si>
  <si>
    <t>ВФЧ/ШВ/У/3835</t>
  </si>
  <si>
    <t>Халдєєва Валерія Сергіївна</t>
  </si>
  <si>
    <t>ВФЧ/ШВ/У/3836</t>
  </si>
  <si>
    <t>Немерська Анна Юріївна</t>
  </si>
  <si>
    <t>ВФЧ/ШВ/У/3837</t>
  </si>
  <si>
    <t>Мікіцел Олександра Олександрівна</t>
  </si>
  <si>
    <t>ВФЧ/ШВ/У/3838</t>
  </si>
  <si>
    <t>Сорока Олександра Андріївна</t>
  </si>
  <si>
    <t>ВФЧ/ШВ/У/3839</t>
  </si>
  <si>
    <t>Шостацький Максим Вікторович</t>
  </si>
  <si>
    <t>ВФЧ/ШВ/У/3840</t>
  </si>
  <si>
    <t>Головчук Христина Анатоліївна</t>
  </si>
  <si>
    <t>ВФЧ/ШВ/У/3841</t>
  </si>
  <si>
    <t>Кондратова Олена Олексіївна</t>
  </si>
  <si>
    <t>ВФЧ/ШВ/У/3842</t>
  </si>
  <si>
    <t>Рудницька Діана Андріївна</t>
  </si>
  <si>
    <t>ВФЧ/ШВ/У/3843</t>
  </si>
  <si>
    <t>Домосилецька Вікторія Вікторівна</t>
  </si>
  <si>
    <t>ВФЧ/ШВ/У/3844</t>
  </si>
  <si>
    <t>ВФЧ/ШВ/У/3845</t>
  </si>
  <si>
    <t>Кушнір Євгеній Олександрович</t>
  </si>
  <si>
    <t>ВФЧ/ШВ/У/3846</t>
  </si>
  <si>
    <t>Яремова Мирослава Олександрівна</t>
  </si>
  <si>
    <t>ВФЧ/ШВ/У/3847</t>
  </si>
  <si>
    <t>Мазур Діана Дмитрівна</t>
  </si>
  <si>
    <t>ВФЧ/ШВ/У/3848</t>
  </si>
  <si>
    <t>Захарець Софія Олександрівна</t>
  </si>
  <si>
    <t>ВФЧ/ШВ/У/3849</t>
  </si>
  <si>
    <t>Ковальчук Дмитро Миколайович</t>
  </si>
  <si>
    <t>ВФЧ/ШВ/У/3850</t>
  </si>
  <si>
    <t>Грабчак Антон Олександрович</t>
  </si>
  <si>
    <t>ВФЧ/ШВ/У/3851</t>
  </si>
  <si>
    <t>Марчук Єгор Павлович</t>
  </si>
  <si>
    <t>ВФЧ/ШВ/У/3852</t>
  </si>
  <si>
    <t>Борікун Вікторія Анатоліївна</t>
  </si>
  <si>
    <t>ВФЧ/ШВ/У/3853</t>
  </si>
  <si>
    <t>Юрнюк Анна Іванівна</t>
  </si>
  <si>
    <t>ВФЧ/ШВ/У/3854</t>
  </si>
  <si>
    <t>Мельничук Ростислав</t>
  </si>
  <si>
    <t>ВФЧ/ШВ/У/3855</t>
  </si>
  <si>
    <t>Олійник Владислав</t>
  </si>
  <si>
    <t>ВФЧ/ШВ/У/3856</t>
  </si>
  <si>
    <t>Андрусів Рустам</t>
  </si>
  <si>
    <t>ВФЧ/ШВ/У/3857</t>
  </si>
  <si>
    <t>Майструк Даріна</t>
  </si>
  <si>
    <t>ВФЧ/ШВ/У/3858</t>
  </si>
  <si>
    <t>Радченко Станіслав</t>
  </si>
  <si>
    <t>ВФЧ/ШВ/У/3859</t>
  </si>
  <si>
    <t>Ліцей №1 ім.Героя України М.Дзявульського Шепетівської міської ради Хмельницької області</t>
  </si>
  <si>
    <t>Слободенюк Ірина Миколаївна</t>
  </si>
  <si>
    <t>Андрійчук Юлія Володимирівна</t>
  </si>
  <si>
    <t>ВФЧ/ШВ/У/3860</t>
  </si>
  <si>
    <t>Войтюк Кароліна Сергіївна</t>
  </si>
  <si>
    <t>ВФЧ/ШВ/У/3861</t>
  </si>
  <si>
    <t>Гороть Микола Юрійович</t>
  </si>
  <si>
    <t>ВФЧ/ШВ/У/3862</t>
  </si>
  <si>
    <t>Закацюра Анна Ігорівна</t>
  </si>
  <si>
    <t>ВФЧ/ШВ/У/3863</t>
  </si>
  <si>
    <t>Лукашук Дар'я Володимирівна</t>
  </si>
  <si>
    <t>ВФЧ/ШВ/У/3864</t>
  </si>
  <si>
    <t>Знова Поліна Миколаївна</t>
  </si>
  <si>
    <t>ВФЧ/ШВ/У/3865</t>
  </si>
  <si>
    <t>Лук'янчук Марія Анатоліївна</t>
  </si>
  <si>
    <t>ВФЧ/ШВ/У/3866</t>
  </si>
  <si>
    <t>Нікітчук Сoфія Романівна</t>
  </si>
  <si>
    <t>ВФЧ/ШВ/У/3867</t>
  </si>
  <si>
    <t>Островська Яна Назарівна</t>
  </si>
  <si>
    <t>ВФЧ/ШВ/У/3868</t>
  </si>
  <si>
    <t>Охрімець Валерія Михайлівна</t>
  </si>
  <si>
    <t>ВФЧ/ШВ/У/3869</t>
  </si>
  <si>
    <t>Томорська Анна Володимирівна</t>
  </si>
  <si>
    <t>ВФЧ/ШВ/У/3870</t>
  </si>
  <si>
    <t>Троц Марія Іванівна</t>
  </si>
  <si>
    <t>ВФЧ/ШВ/У/3871</t>
  </si>
  <si>
    <t>Фещина Юлія Сергіївна</t>
  </si>
  <si>
    <t>ВФЧ/ШВ/У/3872</t>
  </si>
  <si>
    <t>Березенська Мирослава Богданівна</t>
  </si>
  <si>
    <t>ВФЧ/ШВ/У/3873</t>
  </si>
  <si>
    <t>Босик Діана Володимирівна</t>
  </si>
  <si>
    <t>ВФЧ/ШВ/У/3874</t>
  </si>
  <si>
    <t>Горбатюк Віталіна Вікторівна</t>
  </si>
  <si>
    <t>ВФЧ/ШВ/У/3875</t>
  </si>
  <si>
    <t>Гордилюк Аліна Олександрівна</t>
  </si>
  <si>
    <t>ВФЧ/ШВ/У/3876</t>
  </si>
  <si>
    <t>Громова Валерія Євгенівна</t>
  </si>
  <si>
    <t>ВФЧ/ШВ/У/3877</t>
  </si>
  <si>
    <t>Гусаров Богдан Олександрович</t>
  </si>
  <si>
    <t>ВФЧ/ШВ/У/3878</t>
  </si>
  <si>
    <t>Гурська Катерина Сергіївна</t>
  </si>
  <si>
    <t>ВФЧ/ШВ/У/3879</t>
  </si>
  <si>
    <t>Ковтонюк Надія Сергіївна</t>
  </si>
  <si>
    <t>ВФЧ/ШВ/У/3880</t>
  </si>
  <si>
    <t>Косюк Яна Костянтинівна</t>
  </si>
  <si>
    <t>ВФЧ/ШВ/У/3881</t>
  </si>
  <si>
    <t>Кочетигова Єлизавета Іванівна</t>
  </si>
  <si>
    <t>ВФЧ/ШВ/У/3882</t>
  </si>
  <si>
    <t>Куляк Мілана Володимирівна</t>
  </si>
  <si>
    <t>ВФЧ/ШВ/У/3883</t>
  </si>
  <si>
    <t>Лахай Назар Павлович</t>
  </si>
  <si>
    <t>ВФЧ/ШВ/У/3884</t>
  </si>
  <si>
    <t>Левчук Ірина Олексіївна</t>
  </si>
  <si>
    <t>ВФЧ/ШВ/У/3885</t>
  </si>
  <si>
    <t>Лисун Катерина Сергіївна</t>
  </si>
  <si>
    <t>ВФЧ/ШВ/У/3886</t>
  </si>
  <si>
    <t>Мазурець Христина Романівна</t>
  </si>
  <si>
    <t>ВФЧ/ШВ/У/3887</t>
  </si>
  <si>
    <t>Матвійчук Софія Олександрівна</t>
  </si>
  <si>
    <t>ВФЧ/ШВ/У/3888</t>
  </si>
  <si>
    <t>Міськова Яна Сергіївна</t>
  </si>
  <si>
    <t>ВФЧ/ШВ/У/3889</t>
  </si>
  <si>
    <t>Панасюк Любов Сергіївна</t>
  </si>
  <si>
    <t>ВФЧ/ШВ/У/3890</t>
  </si>
  <si>
    <t>Придачук Ангеліна Іванівна</t>
  </si>
  <si>
    <t>ВФЧ/ШВ/У/3891</t>
  </si>
  <si>
    <t>Романюк Анна Вікторівна</t>
  </si>
  <si>
    <t>ВФЧ/ШВ/У/3892</t>
  </si>
  <si>
    <t>Стремедлівська Анастасія Олександрівна</t>
  </si>
  <si>
    <t>ВФЧ/ШВ/У/3893</t>
  </si>
  <si>
    <t>Сухоцька Уляна Романівна</t>
  </si>
  <si>
    <t>ВФЧ/ШВ/У/3894</t>
  </si>
  <si>
    <t>Філюк Анастасія Вікторівна</t>
  </si>
  <si>
    <t>ВФЧ/ШВ/У/3895</t>
  </si>
  <si>
    <t>Хохліч Евеліна Олександрівна</t>
  </si>
  <si>
    <t>ВФЧ/ШВ/У/3896</t>
  </si>
  <si>
    <t>Шафалюк Маргарита Сергіївна</t>
  </si>
  <si>
    <t>ВФЧ/ШВ/У/3897</t>
  </si>
  <si>
    <t>Якимчук Іванна Володимирівна</t>
  </si>
  <si>
    <t>ВФЧ/ШВ/У/3898</t>
  </si>
  <si>
    <t>Сябро Олександр Андрійович</t>
  </si>
  <si>
    <t>ВФЧ/ШВ/У/3899</t>
  </si>
  <si>
    <t>Воробйова Анастасія Андріївна</t>
  </si>
  <si>
    <t>ВФЧ/ШВ/У/3900</t>
  </si>
  <si>
    <t>Якобчук Марина Сергіївна</t>
  </si>
  <si>
    <t>ВФЧ/ШВ/У/3901</t>
  </si>
  <si>
    <t>Дворак Діна Вікторівна</t>
  </si>
  <si>
    <t>ВФЧ/ШВ/У/3902</t>
  </si>
  <si>
    <t>Андрощук Валерія Олександрівна</t>
  </si>
  <si>
    <t>ВФЧ/ШВ/У/3903</t>
  </si>
  <si>
    <t xml:space="preserve">Чемеровецький ліцей №1 </t>
  </si>
  <si>
    <t>Слободян Тетяна Михайлівна</t>
  </si>
  <si>
    <t>Маліновська Соломія</t>
  </si>
  <si>
    <t>ВФЧ/ШВ/У/3904</t>
  </si>
  <si>
    <t>Книш Софія</t>
  </si>
  <si>
    <t>ВФЧ/ШВ/У/3905</t>
  </si>
  <si>
    <t>Герганова Олена</t>
  </si>
  <si>
    <t>ВФЧ/ШВ/У/3906</t>
  </si>
  <si>
    <t>Сенчишин Ярослав</t>
  </si>
  <si>
    <t>ВФЧ/ШВ/У/3907</t>
  </si>
  <si>
    <t>Мерва Ярослав</t>
  </si>
  <si>
    <t>ВФЧ/ШВ/У/3908</t>
  </si>
  <si>
    <t>Шполянський ліцей №3 Шполянської міської ради ОТГ Черкаької області</t>
  </si>
  <si>
    <t>Бондаренко Анна Петрівна</t>
  </si>
  <si>
    <t>Рослякова Яна Олексіївна</t>
  </si>
  <si>
    <t>ВФЧ/ШВ/У/3909</t>
  </si>
  <si>
    <t>Харіна Владислава Русланівна</t>
  </si>
  <si>
    <t>ВФЧ/ШВ/У/3910</t>
  </si>
  <si>
    <t>Починок Дар'я Віталіївна</t>
  </si>
  <si>
    <t>ВФЧ/ШВ/У/3911</t>
  </si>
  <si>
    <t>Шульга Володимир Романович</t>
  </si>
  <si>
    <t>ВФЧ/ШВ/У/3912</t>
  </si>
  <si>
    <t>Романюк Анастасія Романівна</t>
  </si>
  <si>
    <t>ВФЧ/ШВ/У/3913</t>
  </si>
  <si>
    <t>Пархоменко Діана</t>
  </si>
  <si>
    <t>ВФЧ/ШВ/У/3914</t>
  </si>
  <si>
    <t>Пшенишний Руслан Віталійович</t>
  </si>
  <si>
    <t>ВФЧ/ШВ/У/3915</t>
  </si>
  <si>
    <t>Толчініна Ілона Сергіївна</t>
  </si>
  <si>
    <t>ВФЧ/ШВ/У/3916</t>
  </si>
  <si>
    <t>Черкаська загальноосвітня школа І-ІІІ ст. №29 Черкаської міської ради Черкаської області</t>
  </si>
  <si>
    <t>Діденко Сергій Васильович</t>
  </si>
  <si>
    <t>Антощенко Нікіта Миколайович</t>
  </si>
  <si>
    <t>ВФЧ/ШВ/У/3917</t>
  </si>
  <si>
    <t>Грабова Вікторія Віталіївна</t>
  </si>
  <si>
    <t>ВФЧ/ШВ/У/3918</t>
  </si>
  <si>
    <t>Коробіцина Анастасія Валеріївна</t>
  </si>
  <si>
    <t>ВФЧ/ШВ/У/3919</t>
  </si>
  <si>
    <t>Медведчук Даніїл Миколайович</t>
  </si>
  <si>
    <t>ВФЧ/ШВ/У/3920</t>
  </si>
  <si>
    <t>Омельченко Владислав Юрійович</t>
  </si>
  <si>
    <t>ВФЧ/ШВ/У/3921</t>
  </si>
  <si>
    <t>Патлань Софія Дмитрівна</t>
  </si>
  <si>
    <t>ВФЧ/ШВ/У/3922</t>
  </si>
  <si>
    <t>Рижов Нікіта Андрійович</t>
  </si>
  <si>
    <t>ВФЧ/ШВ/У/3923</t>
  </si>
  <si>
    <t>Русаков Дмитро Сергійович</t>
  </si>
  <si>
    <t>ВФЧ/ШВ/У/3924</t>
  </si>
  <si>
    <t>Черненко Дар’я Вікторівна</t>
  </si>
  <si>
    <t>ВФЧ/ШВ/У/3925</t>
  </si>
  <si>
    <t>Чертополох Вікторія Анатоліївна</t>
  </si>
  <si>
    <t>ВФЧ/ШВ/У/3926</t>
  </si>
  <si>
    <t>Шевченко Вікторія Андріївна</t>
  </si>
  <si>
    <t>ВФЧ/ШВ/У/3927</t>
  </si>
  <si>
    <t>Яценко Андрій Сергійович</t>
  </si>
  <si>
    <t>ВФЧ/ШВ/У/3928</t>
  </si>
  <si>
    <t>Золотоніська загальноосвітня школа І-ІІІ ст. №5</t>
  </si>
  <si>
    <t>Заєць Світлана Іванівна</t>
  </si>
  <si>
    <t>Кравченко Віктор</t>
  </si>
  <si>
    <t>ВФЧ/ШВ/У/3929</t>
  </si>
  <si>
    <t>Золотоніська гімназія ім.С, Д, Скляренка</t>
  </si>
  <si>
    <t>Скорик Віктор</t>
  </si>
  <si>
    <t>ВФЧ/ШВ/У/3930</t>
  </si>
  <si>
    <t>Кондратенко Варвара</t>
  </si>
  <si>
    <t>ВФЧ/ШВ/У/3931</t>
  </si>
  <si>
    <t>Сябро Денис</t>
  </si>
  <si>
    <t>ВФЧ/ШВ/У/3932</t>
  </si>
  <si>
    <t>Оверченко Максим</t>
  </si>
  <si>
    <t>ВФЧ/ШВ/У/3933</t>
  </si>
  <si>
    <t>Кравченко Анна</t>
  </si>
  <si>
    <t>ВФЧ/ШВ/У/3934</t>
  </si>
  <si>
    <t>Лихенко Даніела</t>
  </si>
  <si>
    <t>ВФЧ/ШВ/У/3935</t>
  </si>
  <si>
    <t>Лисенко Ярослава</t>
  </si>
  <si>
    <t>ВФЧ/ШВ/У/3936</t>
  </si>
  <si>
    <t>Поїзник Анна</t>
  </si>
  <si>
    <t>ВФЧ/ШВ/У/3937</t>
  </si>
  <si>
    <t>Шульга Анастасія</t>
  </si>
  <si>
    <t>ВФЧ/ШВ/У/3938</t>
  </si>
  <si>
    <t>Терісаян Крістіна</t>
  </si>
  <si>
    <t>ВФЧ/ШВ/У/3939</t>
  </si>
  <si>
    <t>Науменко Олександр</t>
  </si>
  <si>
    <t>ВФЧ/ШВ/У/3940</t>
  </si>
  <si>
    <t>Драбівський ліцей Драбівської селищної ради</t>
  </si>
  <si>
    <t>Калач Інна Вікторівна</t>
  </si>
  <si>
    <t>Телепа Вікторія Станіславівна</t>
  </si>
  <si>
    <t>ВФЧ/ШВ/У/3941</t>
  </si>
  <si>
    <t>Перепелиця Поліна Миколаївна</t>
  </si>
  <si>
    <t>ВФЧ/ШВ/У/3942</t>
  </si>
  <si>
    <t>Ущаповський Арсеній Максимович</t>
  </si>
  <si>
    <t>ВФЧ/ШВ/У/3943</t>
  </si>
  <si>
    <t>Ситник Юлія Сергіївна</t>
  </si>
  <si>
    <t>ВФЧ/ШВ/У/3944</t>
  </si>
  <si>
    <t>Литовченко Вікторія Іванівна</t>
  </si>
  <si>
    <t>ВФЧ/ШВ/У/3945</t>
  </si>
  <si>
    <t>Баштан Антон Віталійович</t>
  </si>
  <si>
    <t>ВФЧ/ШВ/У/3946</t>
  </si>
  <si>
    <t>Пилипенко Ольга Вячеславівна</t>
  </si>
  <si>
    <t>ВФЧ/ШВ/У/3947</t>
  </si>
  <si>
    <t>Ющук Анатолій Анатолійович</t>
  </si>
  <si>
    <t>ВФЧ/ШВ/У/3948</t>
  </si>
  <si>
    <t>Цюра Вадим Олегович</t>
  </si>
  <si>
    <t>ВФЧ/ШВ/У/3949</t>
  </si>
  <si>
    <t>Кисорець Максим Олексійович</t>
  </si>
  <si>
    <t>ВФЧ/ШВ/У/3950</t>
  </si>
  <si>
    <t>Кисорець Олександр Андрійович</t>
  </si>
  <si>
    <t>ВФЧ/ШВ/У/3951</t>
  </si>
  <si>
    <t>Борисова Яна Сергіївна</t>
  </si>
  <si>
    <t>ВФЧ/ШВ/У/3952</t>
  </si>
  <si>
    <t xml:space="preserve">Смілянський навчально-виховний комплекс "Загальноосвітня школа І ступеня-гімназія імені В.Т.Сенатора" (з дошкільним підрозділом) Смілянської міської ради Черкаської області </t>
  </si>
  <si>
    <t xml:space="preserve">Кільчевська Ольга Вікторівна </t>
  </si>
  <si>
    <t>Давидова Анастасія Юріївна</t>
  </si>
  <si>
    <t>ВФЧ/ШВ/У/3953</t>
  </si>
  <si>
    <t>ліцей "Ерудит" Монастирищенської міської ради Черкаської області</t>
  </si>
  <si>
    <t>Красножон Тетяна Вікторівна</t>
  </si>
  <si>
    <t>Гребенщиков Назар</t>
  </si>
  <si>
    <t>ВФЧ/ШВ/У/3954</t>
  </si>
  <si>
    <t>Бакай Артем</t>
  </si>
  <si>
    <t>ВФЧ/ШВ/У/3955</t>
  </si>
  <si>
    <t>Кузьмін Дмитро</t>
  </si>
  <si>
    <t>ВФЧ/ШВ/У/3956</t>
  </si>
  <si>
    <t>Кібаленко Євгеній</t>
  </si>
  <si>
    <t>ВФЧ/ШВ/У/3957</t>
  </si>
  <si>
    <t>Софієнко Ірина</t>
  </si>
  <si>
    <t>ВФЧ/ШВ/У/3958</t>
  </si>
  <si>
    <t>Танцюра Вікторія</t>
  </si>
  <si>
    <t>ВФЧ/ШВ/У/3959</t>
  </si>
  <si>
    <t>Золотоніська спеціалізована школа № 1, м. Золотоноша, Черкаська область.</t>
  </si>
  <si>
    <t xml:space="preserve">Кузьмінський Дмитро Миколайович </t>
  </si>
  <si>
    <t>КормаОлександр</t>
  </si>
  <si>
    <t>ВФЧ/ШВ/У/3960</t>
  </si>
  <si>
    <t>Бублик Лідія</t>
  </si>
  <si>
    <t>ВФЧ/ШВ/У/3961</t>
  </si>
  <si>
    <t>Будюк Дарина</t>
  </si>
  <si>
    <t>ВФЧ/ШВ/У/3962</t>
  </si>
  <si>
    <t>Мовчан Анна</t>
  </si>
  <si>
    <t>ВФЧ/ШВ/У/3963</t>
  </si>
  <si>
    <t>Мельнікова Анна</t>
  </si>
  <si>
    <t>ВФЧ/ШВ/У/3964</t>
  </si>
  <si>
    <t>Осіпова Юлія</t>
  </si>
  <si>
    <t>ВФЧ/ШВ/У/3965</t>
  </si>
  <si>
    <t xml:space="preserve">Навчально-виховний комплекс "Загальноосвітня школа І-ІІІ ступенів #3-колегіум" Смілянської міської ради Черкаської області </t>
  </si>
  <si>
    <t xml:space="preserve">Куликова Ольга Іванівна </t>
  </si>
  <si>
    <t>Коломієць Дар'я Юріївна</t>
  </si>
  <si>
    <t>ВФЧ/ШВ/У/3966</t>
  </si>
  <si>
    <t>Калина Анастасія Олександрівна</t>
  </si>
  <si>
    <t>ВФЧ/ШВ/У/3967</t>
  </si>
  <si>
    <t>Дробот Вероніка Олександрівна</t>
  </si>
  <si>
    <t>ВФЧ/ШВ/У/3968</t>
  </si>
  <si>
    <t>Щербенко Максим Олексійович</t>
  </si>
  <si>
    <t>ВФЧ/ШВ/У/3969</t>
  </si>
  <si>
    <t>Горіцен Владислав Віталійович</t>
  </si>
  <si>
    <t>ВФЧ/ШВ/У/3970</t>
  </si>
  <si>
    <t>Мітірьова Софія Миколаївна</t>
  </si>
  <si>
    <t>ВФЧ/ШВ/У/3971</t>
  </si>
  <si>
    <t>Смілянська спеціалізована школа І-ІІІ ступенів № 12 Смілянської міської ради Черкаської області</t>
  </si>
  <si>
    <t>Мазур Наталія Володимирівна</t>
  </si>
  <si>
    <t>Кугот Євгенія Володимирівна</t>
  </si>
  <si>
    <t>ВФЧ/ШВ/У/3972</t>
  </si>
  <si>
    <t>Куліш Олег Євгенович</t>
  </si>
  <si>
    <t>ВФЧ/ШВ/У/3973</t>
  </si>
  <si>
    <t>Нечипоренко Акім Сергійович</t>
  </si>
  <si>
    <t>ВФЧ/ШВ/У/3974</t>
  </si>
  <si>
    <t>Темченко Марія Олексіївна</t>
  </si>
  <si>
    <t>ВФЧ/ШВ/У/3975</t>
  </si>
  <si>
    <t>Третяк Данііл Олександрович</t>
  </si>
  <si>
    <t>ВФЧ/ШВ/У/3976</t>
  </si>
  <si>
    <t>Церковна Юлія Олександрівна</t>
  </si>
  <si>
    <t>ВФЧ/ШВ/У/3977</t>
  </si>
  <si>
    <t>Цибко Роман Дмитрович</t>
  </si>
  <si>
    <t>ВФЧ/ШВ/У/3978</t>
  </si>
  <si>
    <t>Смілянська загальноосвітня школа І -ІІІ ступенів №1 Смілянської міської ради Черкаської області</t>
  </si>
  <si>
    <t>Подрушняк Любов Іванівна</t>
  </si>
  <si>
    <t>Артеменко Назар</t>
  </si>
  <si>
    <t>ВФЧ/ШВ/У/3979</t>
  </si>
  <si>
    <t>Віштак Денис</t>
  </si>
  <si>
    <t>ВФЧ/ШВ/У/3980</t>
  </si>
  <si>
    <t>Деркач Дмитро</t>
  </si>
  <si>
    <t>ВФЧ/ШВ/У/3981</t>
  </si>
  <si>
    <t>Дишлевий Андрій</t>
  </si>
  <si>
    <t>ВФЧ/ШВ/У/3982</t>
  </si>
  <si>
    <t>Калініченко Олександра</t>
  </si>
  <si>
    <t>ВФЧ/ШВ/У/3983</t>
  </si>
  <si>
    <t>Кириленко Ярослав</t>
  </si>
  <si>
    <t>ВФЧ/ШВ/У/3984</t>
  </si>
  <si>
    <t>Колесніков Артем</t>
  </si>
  <si>
    <t>ВФЧ/ШВ/У/3985</t>
  </si>
  <si>
    <t>Купенко Єгор</t>
  </si>
  <si>
    <t>ВФЧ/ШВ/У/3986</t>
  </si>
  <si>
    <t>Макаров Ростислав</t>
  </si>
  <si>
    <t>ВФЧ/ШВ/У/3987</t>
  </si>
  <si>
    <t>Мальована Крістіна</t>
  </si>
  <si>
    <t>ВФЧ/ШВ/У/3988</t>
  </si>
  <si>
    <t>Олійник Дар'я</t>
  </si>
  <si>
    <t>ВФЧ/ШВ/У/3989</t>
  </si>
  <si>
    <t>Подлесна Лія</t>
  </si>
  <si>
    <t>ВФЧ/ШВ/У/3990</t>
  </si>
  <si>
    <t>Подлесний Руслан</t>
  </si>
  <si>
    <t>ВФЧ/ШВ/У/3991</t>
  </si>
  <si>
    <t>Руднєв Денис</t>
  </si>
  <si>
    <t>ВФЧ/ШВ/У/3992</t>
  </si>
  <si>
    <t>Ткаченко Марія</t>
  </si>
  <si>
    <t>ВФЧ/ШВ/У/3993</t>
  </si>
  <si>
    <t>Ховко Михайло</t>
  </si>
  <si>
    <t>ВФЧ/ШВ/У/3994</t>
  </si>
  <si>
    <t>ВФЧ/ШВ/У/3995</t>
  </si>
  <si>
    <t>Гапченко Кирило</t>
  </si>
  <si>
    <t>ВФЧ/ШВ/У/3996</t>
  </si>
  <si>
    <t>Григоренко Валерія</t>
  </si>
  <si>
    <t>ВФЧ/ШВ/У/3997</t>
  </si>
  <si>
    <t>Карпенко Вероніка</t>
  </si>
  <si>
    <t>ВФЧ/ШВ/У/3998</t>
  </si>
  <si>
    <t>Кашуба Максим</t>
  </si>
  <si>
    <t>ВФЧ/ШВ/У/3999</t>
  </si>
  <si>
    <t>Книж Софія</t>
  </si>
  <si>
    <t>ВФЧ/ШВ/У/4000</t>
  </si>
  <si>
    <t>Крапивний Віталій</t>
  </si>
  <si>
    <t>ВФЧ/ШВ/У/4001</t>
  </si>
  <si>
    <t>Мачуський Владислав</t>
  </si>
  <si>
    <t>ВФЧ/ШВ/У/4002</t>
  </si>
  <si>
    <t>Муравський Ілля</t>
  </si>
  <si>
    <t>ВФЧ/ШВ/У/4003</t>
  </si>
  <si>
    <t>Савченко Даніл</t>
  </si>
  <si>
    <t>ВФЧ/ШВ/У/4004</t>
  </si>
  <si>
    <t>Саміченко Катерина</t>
  </si>
  <si>
    <t>ВФЧ/ШВ/У/4005</t>
  </si>
  <si>
    <t>Саміченко Юлія</t>
  </si>
  <si>
    <t>ВФЧ/ШВ/У/4006</t>
  </si>
  <si>
    <t>Скиба Софія</t>
  </si>
  <si>
    <t>ВФЧ/ШВ/У/4007</t>
  </si>
  <si>
    <t>Смаляний Віталій</t>
  </si>
  <si>
    <t>ВФЧ/ШВ/У/4008</t>
  </si>
  <si>
    <t>Устименко Каріна</t>
  </si>
  <si>
    <t>ВФЧ/ШВ/У/4009</t>
  </si>
  <si>
    <t>Хоменко Руслан</t>
  </si>
  <si>
    <t>ВФЧ/ШВ/У/4010</t>
  </si>
  <si>
    <t>Царенко Вероніка</t>
  </si>
  <si>
    <t>ВФЧ/ШВ/У/4011</t>
  </si>
  <si>
    <t>Шагіахметов Назар</t>
  </si>
  <si>
    <t>ВФЧ/ШВ/У/4012</t>
  </si>
  <si>
    <t>Штанько Ілля</t>
  </si>
  <si>
    <t>ВФЧ/ШВ/У/4013</t>
  </si>
  <si>
    <t xml:space="preserve">	Комунальний заклад "Степанецький ліцей - опорний заклад загальної середньої освіти" Степанецької сільської ради об'єднаної територіальної громади Черкаської області</t>
  </si>
  <si>
    <t>Почтар Юлія Миколаївна</t>
  </si>
  <si>
    <t>Шинкаренко Олександр Сергійови</t>
  </si>
  <si>
    <t>ВФЧ/ШВ/У/4014</t>
  </si>
  <si>
    <t>Почтар Захар Сергійович</t>
  </si>
  <si>
    <t>ВФЧ/ШВ/У/4015</t>
  </si>
  <si>
    <t>Козлов Ярослав Євгенійович</t>
  </si>
  <si>
    <t>ВФЧ/ШВ/У/4016</t>
  </si>
  <si>
    <t>Гадар Антон Миколайович</t>
  </si>
  <si>
    <t>ВФЧ/ШВ/У/4017</t>
  </si>
  <si>
    <t>Мокрієнко Юлія Сергіївна</t>
  </si>
  <si>
    <t>ВФЧ/ШВ/У/4018</t>
  </si>
  <si>
    <t>Черкаська гімназія № 9 ім. О.М.Луценка</t>
  </si>
  <si>
    <t>Руденко Оксана Анатоліївна</t>
  </si>
  <si>
    <t>Волошин Богдан Віталійович</t>
  </si>
  <si>
    <t>ВФЧ/ШВ/У/4019</t>
  </si>
  <si>
    <t>Головатенко Олександр Вікторович</t>
  </si>
  <si>
    <t>ВФЧ/ШВ/У/4020</t>
  </si>
  <si>
    <t>Горб Дмитро Олександрович</t>
  </si>
  <si>
    <t>ВФЧ/ШВ/У/4021</t>
  </si>
  <si>
    <t>Гринець Максим Андрійович</t>
  </si>
  <si>
    <t>ВФЧ/ШВ/У/4022</t>
  </si>
  <si>
    <t>Донець Дмитро Владиславович</t>
  </si>
  <si>
    <t>ВФЧ/ШВ/У/4023</t>
  </si>
  <si>
    <t>Іващенко Софія Вікторівна</t>
  </si>
  <si>
    <t>ВФЧ/ШВ/У/4024</t>
  </si>
  <si>
    <t>Коваленко Ярослав Максимович</t>
  </si>
  <si>
    <t>ВФЧ/ШВ/У/4025</t>
  </si>
  <si>
    <t>Козленко Назар Васильович</t>
  </si>
  <si>
    <t>ВФЧ/ШВ/У/4026</t>
  </si>
  <si>
    <t>Комар Ірина Андріївна</t>
  </si>
  <si>
    <t>ВФЧ/ШВ/У/4027</t>
  </si>
  <si>
    <t>Кретова Єлизавета Максимівна</t>
  </si>
  <si>
    <t>ВФЧ/ШВ/У/4028</t>
  </si>
  <si>
    <t>Крикун Софія Костянтинівна</t>
  </si>
  <si>
    <t>ВФЧ/ШВ/У/4029</t>
  </si>
  <si>
    <t>Кузьменко Владислав Павлович</t>
  </si>
  <si>
    <t>ВФЧ/ШВ/У/4030</t>
  </si>
  <si>
    <t>Лаптєв Єгор Андрійович</t>
  </si>
  <si>
    <t>ВФЧ/ШВ/У/4031</t>
  </si>
  <si>
    <t>Мальована Ліка Олегівна</t>
  </si>
  <si>
    <t>ВФЧ/ШВ/У/4032</t>
  </si>
  <si>
    <t>Митянська Аліна Сергіївна</t>
  </si>
  <si>
    <t>ВФЧ/ШВ/У/4033</t>
  </si>
  <si>
    <t>Мутушкіна Катерина Русланівна</t>
  </si>
  <si>
    <t>ВФЧ/ШВ/У/4034</t>
  </si>
  <si>
    <t>Омельченко Ілля Андрійович</t>
  </si>
  <si>
    <t>ВФЧ/ШВ/У/4035</t>
  </si>
  <si>
    <t>Перехрест Анастасія Олексіївна</t>
  </si>
  <si>
    <t>ВФЧ/ШВ/У/4036</t>
  </si>
  <si>
    <t>Піскун Владислав Олексійович</t>
  </si>
  <si>
    <t>ВФЧ/ШВ/У/4037</t>
  </si>
  <si>
    <t>Позня Аліна Сергіївна</t>
  </si>
  <si>
    <t>ВФЧ/ШВ/У/4038</t>
  </si>
  <si>
    <t>Романов Павло Сергійович</t>
  </si>
  <si>
    <t>ВФЧ/ШВ/У/4039</t>
  </si>
  <si>
    <t>Руденко Дарья Вікторівна</t>
  </si>
  <si>
    <t>ВФЧ/ШВ/У/4040</t>
  </si>
  <si>
    <t>Рудковський Матвій Андрійович</t>
  </si>
  <si>
    <t>ВФЧ/ШВ/У/4041</t>
  </si>
  <si>
    <t>Самійленко Анастасія Василівна</t>
  </si>
  <si>
    <t>ВФЧ/ШВ/У/4042</t>
  </si>
  <si>
    <t>Сутиська Дар'я Олександрівна</t>
  </si>
  <si>
    <t>ВФЧ/ШВ/У/4043</t>
  </si>
  <si>
    <t>Філоненко Костянтин Віталійович</t>
  </si>
  <si>
    <t>ВФЧ/ШВ/У/4044</t>
  </si>
  <si>
    <t>Мліївський ліцей №1 Мліївської сільської ради</t>
  </si>
  <si>
    <t>Сотникова Софія Анатоліївна</t>
  </si>
  <si>
    <t>Вівсяний Максим Віталійович</t>
  </si>
  <si>
    <t>ВФЧ/ШВ/У/4045</t>
  </si>
  <si>
    <t>Гладка Надія Сергіївна</t>
  </si>
  <si>
    <t>ВФЧ/ШВ/У/4046</t>
  </si>
  <si>
    <t>Гудзь Каріна Юріївна</t>
  </si>
  <si>
    <t>ВФЧ/ШВ/У/4047</t>
  </si>
  <si>
    <t>Драчевська Анастасія Володимирівна</t>
  </si>
  <si>
    <t>ВФЧ/ШВ/У/4048</t>
  </si>
  <si>
    <t>Дяченко Максим Леонідович</t>
  </si>
  <si>
    <t>ВФЧ/ШВ/У/4049</t>
  </si>
  <si>
    <t>Краснюк Каріна Валентинівна</t>
  </si>
  <si>
    <t>ВФЧ/ШВ/У/4050</t>
  </si>
  <si>
    <t>Курінна Софія Олександрівна</t>
  </si>
  <si>
    <t>ВФЧ/ШВ/У/4051</t>
  </si>
  <si>
    <t>Орел Назар Віталійович</t>
  </si>
  <si>
    <t>ВФЧ/ШВ/У/4052</t>
  </si>
  <si>
    <t>Сагач Сергій Юрійович</t>
  </si>
  <si>
    <t>ВФЧ/ШВ/У/4053</t>
  </si>
  <si>
    <t>Танкова Анастасія Андріївна</t>
  </si>
  <si>
    <t>ВФЧ/ШВ/У/4054</t>
  </si>
  <si>
    <t>Тісевич Сергій Сергійович</t>
  </si>
  <si>
    <t>ВФЧ/ШВ/У/4055</t>
  </si>
  <si>
    <t>Шалагін Станіслав Васильович</t>
  </si>
  <si>
    <t>ВФЧ/ШВ/У/4056</t>
  </si>
  <si>
    <t xml:space="preserve">Городищенський економічний ліцей Городищенської міської ради Черкаської області </t>
  </si>
  <si>
    <t>Чорна Тетяна Василівна</t>
  </si>
  <si>
    <t>Бакал Мирослав Юрійович</t>
  </si>
  <si>
    <t>ВФЧ/ШВ/У/4057</t>
  </si>
  <si>
    <t>Бондаренко Анастасія Андріївна</t>
  </si>
  <si>
    <t>ВФЧ/ШВ/У/4058</t>
  </si>
  <si>
    <t>Горобей Артем Сергійович</t>
  </si>
  <si>
    <t>ВФЧ/ШВ/У/4059</t>
  </si>
  <si>
    <t>Гулак Максим Олександрович</t>
  </si>
  <si>
    <t>ВФЧ/ШВ/У/4060</t>
  </si>
  <si>
    <t>Зінченко Ірина Костянтинівна</t>
  </si>
  <si>
    <t>ВФЧ/ШВ/У/4061</t>
  </si>
  <si>
    <t>Каракай Аліна Анатоліївна</t>
  </si>
  <si>
    <t>ВФЧ/ШВ/У/4062</t>
  </si>
  <si>
    <t>Коломоєць Анастасія Миколаївна</t>
  </si>
  <si>
    <t>ВФЧ/ШВ/У/4063</t>
  </si>
  <si>
    <t>Кравченко Дарія Русланівна</t>
  </si>
  <si>
    <t>ВФЧ/ШВ/У/4064</t>
  </si>
  <si>
    <t>Крижанівська Наталія Костянтинівна</t>
  </si>
  <si>
    <t>ВФЧ/ШВ/У/4065</t>
  </si>
  <si>
    <t>Письменна Вікторія Євгенівна</t>
  </si>
  <si>
    <t>ВФЧ/ШВ/У/4066</t>
  </si>
  <si>
    <t>Сладковська Вероніка Ростиславівна</t>
  </si>
  <si>
    <t>ВФЧ/ШВ/У/4067</t>
  </si>
  <si>
    <t>Трохименко Володимир Олександрович</t>
  </si>
  <si>
    <t>ВФЧ/ШВ/У/4068</t>
  </si>
  <si>
    <t>Хорошко Максим Вікторович</t>
  </si>
  <si>
    <t>ВФЧ/ШВ/У/4069</t>
  </si>
  <si>
    <t>Шобей Яна Василівна</t>
  </si>
  <si>
    <t>ВФЧ/ШВ/У/4070</t>
  </si>
  <si>
    <t>Коробівський НВК "ЗОШ І-ІІІ ступенів - заклад дошкільної освіти'</t>
  </si>
  <si>
    <t xml:space="preserve">Шацило Марія Василівна </t>
  </si>
  <si>
    <t>Брусов Олександр Олександрович</t>
  </si>
  <si>
    <t>ВФЧ/ШВ/У/4071</t>
  </si>
  <si>
    <t>Капелюшна Тетяна Василівна</t>
  </si>
  <si>
    <t>ВФЧ/ШВ/У/4072</t>
  </si>
  <si>
    <t>Раєвська Юлія Вікторівна</t>
  </si>
  <si>
    <t>ВФЧ/ШВ/У/4073</t>
  </si>
  <si>
    <t>Циб Анна Сергіївна</t>
  </si>
  <si>
    <t>ВФЧ/ШВ/У/4074</t>
  </si>
  <si>
    <t>Ярова Анастасія Ігорівна</t>
  </si>
  <si>
    <t>ВФЧ/ШВ/У/4075</t>
  </si>
  <si>
    <t>Тарасовецький ліцей Ванчиковецької сільської ради Чернівецького району Чернівецької області</t>
  </si>
  <si>
    <t>Безушка Лариса Сергіївна</t>
  </si>
  <si>
    <t>Панцир Катерина Олегівна</t>
  </si>
  <si>
    <t>ВФЧ/ШВ/У/4076</t>
  </si>
  <si>
    <t>Алупій Іван Сергійович</t>
  </si>
  <si>
    <t>ВФЧ/ШВ/У/4077</t>
  </si>
  <si>
    <t>Мойсей Денис Андріанович</t>
  </si>
  <si>
    <t>ВФЧ/ШВ/У/4078</t>
  </si>
  <si>
    <t>Ілашку Денис Дінувич</t>
  </si>
  <si>
    <t>ВФЧ/ШВ/У/4079</t>
  </si>
  <si>
    <t>Андрієш Анастасія Геннадіївна</t>
  </si>
  <si>
    <t>ВФЧ/ШВ/У/4080</t>
  </si>
  <si>
    <t>Мунтян Веніамін Олексійович</t>
  </si>
  <si>
    <t>ВФЧ/ШВ/У/4081</t>
  </si>
  <si>
    <t>Опорний заклад "СОКИРЯНСЬКИЙ ЛІЦЕЙ №1 СОКИРЯНСЬКОЇ МІСЬКОЇ РАДИ ДНІСТРОВСЬКОГО РАЙОНУ ЧЕРНІВЕЦЬКОЇ ОБЛАСТІ"</t>
  </si>
  <si>
    <t>Ткач Андрій Анатолійович</t>
  </si>
  <si>
    <t>Гончар Борис Васильович</t>
  </si>
  <si>
    <t>ВФЧ/ШВ/У/4082</t>
  </si>
  <si>
    <t>Паращук Ксенія Олександрівна</t>
  </si>
  <si>
    <t>ВФЧ/ШВ/У/4083</t>
  </si>
  <si>
    <t>Бандуряк Єлизавета Романівна</t>
  </si>
  <si>
    <t>ВФЧ/ШВ/У/4084</t>
  </si>
  <si>
    <t>Дунай Аріна Ярославівна</t>
  </si>
  <si>
    <t>ВФЧ/ШВ/У/4085</t>
  </si>
  <si>
    <t>Майструк Надія Вікторівна</t>
  </si>
  <si>
    <t>ВФЧ/ШВ/У/4086</t>
  </si>
  <si>
    <t>Серебрянська Кароліна Сергіївна</t>
  </si>
  <si>
    <t>ВФЧ/ШВ/У/4087</t>
  </si>
  <si>
    <t>Чосик Елизавета Олександрівна</t>
  </si>
  <si>
    <t>ВФЧ/ШВ/У/4088</t>
  </si>
  <si>
    <t>Маковій Марія-Дар'я Іванівна</t>
  </si>
  <si>
    <t>ВФЧ/ШВ/У/4089</t>
  </si>
  <si>
    <t>Підгурська Сабіна Михайлівна</t>
  </si>
  <si>
    <t>ВФЧ/ШВ/У/4090</t>
  </si>
  <si>
    <t>Талалаївський ліцей Талалаївської сільської ради Ніжинського району Чернігівської області</t>
  </si>
  <si>
    <t>Немченко Іван Іванович</t>
  </si>
  <si>
    <t>Кобзар Денис Олександрович</t>
  </si>
  <si>
    <t>ВФЧ/ШВ/У/4091</t>
  </si>
  <si>
    <t>Яровий Денис Михайлович</t>
  </si>
  <si>
    <t>ВФЧ/ШВ/У/4092</t>
  </si>
  <si>
    <t>Чернов Вадим Романович</t>
  </si>
  <si>
    <t>ВФЧ/ШВ/У/4093</t>
  </si>
  <si>
    <t>Білейківський ліцей Козелецької селищної ради</t>
  </si>
  <si>
    <t>Пиженко Тамара Миколаївна</t>
  </si>
  <si>
    <t>Донченко Марія Василівна</t>
  </si>
  <si>
    <t>ВФЧ/ШВ/У/4094</t>
  </si>
  <si>
    <t>Донченко Михайло Васильович</t>
  </si>
  <si>
    <t>ВФЧ/ШВ/У/4095</t>
  </si>
  <si>
    <t>Красножон Катерина Сергіївна</t>
  </si>
  <si>
    <t>ВФЧ/ШВ/У/4096</t>
  </si>
  <si>
    <t>Носова Діана Валеріївна</t>
  </si>
  <si>
    <t>ВФЧ/ШВ/У/4097</t>
  </si>
  <si>
    <t>Пищик Вікторія Василівна</t>
  </si>
  <si>
    <t>ВФЧ/ШВ/У/4098</t>
  </si>
  <si>
    <t>Погребовський Назарій Вадимович</t>
  </si>
  <si>
    <t>ВФЧ/ШВ/У/4099</t>
  </si>
  <si>
    <t>Столяренко Ірина Костянтинівна</t>
  </si>
  <si>
    <t>ВФЧ/ШВ/У/4100</t>
  </si>
  <si>
    <t>Бригинець Вікторія Олександрівна</t>
  </si>
  <si>
    <t>ВФЧ/ШВ/У/4101</t>
  </si>
  <si>
    <t>Козелецький ліцей №3 Козелецької селищної ради</t>
  </si>
  <si>
    <t>Ричок Катерина Миколаївна</t>
  </si>
  <si>
    <t>Бригинець Кіра</t>
  </si>
  <si>
    <t>ВФЧ/ШВ/У/4102</t>
  </si>
  <si>
    <t>Максимець Анна</t>
  </si>
  <si>
    <t>ВФЧ/ШВ/У/4103</t>
  </si>
  <si>
    <t>Дудкевич В'ячеслав</t>
  </si>
  <si>
    <t>ВФЧ/ШВ/У/4104</t>
  </si>
  <si>
    <t>Сироїжко Дар'я</t>
  </si>
  <si>
    <t>ВФЧ/ШВ/У/4105</t>
  </si>
  <si>
    <t>Кривицький Нікіта</t>
  </si>
  <si>
    <t>ВФЧ/ШВ/У/4106</t>
  </si>
  <si>
    <t>Тонконог Софія</t>
  </si>
  <si>
    <t>ВФЧ/ШВ/У/4107</t>
  </si>
  <si>
    <t>Мазун Володимир</t>
  </si>
  <si>
    <t>ВФЧ/ШВ/У/4108</t>
  </si>
  <si>
    <t>Шенгерей Ольга</t>
  </si>
  <si>
    <t>ВФЧ/ШВ/У/4109</t>
  </si>
  <si>
    <t>Мозолевська Маша</t>
  </si>
  <si>
    <t>ВФЧ/ШВ/У/4110</t>
  </si>
  <si>
    <t>Потебня Анастасія</t>
  </si>
  <si>
    <t>ВФЧ/ШВ/У/4111</t>
  </si>
  <si>
    <t>Донець Софія</t>
  </si>
  <si>
    <t>ВФЧ/ШВ/У/4112</t>
  </si>
  <si>
    <t>Пономаренко Софія</t>
  </si>
  <si>
    <t>ВФЧ/ШВ/У/4113</t>
  </si>
  <si>
    <t>Сіра Дар'я</t>
  </si>
  <si>
    <t>ВФЧ/ШВ/У/4114</t>
  </si>
  <si>
    <t>Тарсуков Максим</t>
  </si>
  <si>
    <t>ВФЧ/ШВ/У/4115</t>
  </si>
  <si>
    <t>Іллєнко Анна</t>
  </si>
  <si>
    <t>ВФЧ/ШВ/У/4116</t>
  </si>
  <si>
    <t>Дрофенко Анастасія</t>
  </si>
  <si>
    <t>ВФЧ/ШВ/У/4117</t>
  </si>
  <si>
    <t>Шавро Катерина</t>
  </si>
  <si>
    <t>ВФЧ/ШВ/У/4118</t>
  </si>
  <si>
    <t>Ніжинський ліцей Ніжинської міської ради Чернігівської області при НДУ ім. М.Гоголя</t>
  </si>
  <si>
    <t>Шовкун Тетяна Миколаївна</t>
  </si>
  <si>
    <t>Заболотня Софія Євгенівна</t>
  </si>
  <si>
    <t>ВФЧ/ШВ/У/4119</t>
  </si>
  <si>
    <t>Лозова Софія Юріївна</t>
  </si>
  <si>
    <t>ВФЧ/ШВ/У/4120</t>
  </si>
  <si>
    <t>Жук Оксана Романівна</t>
  </si>
  <si>
    <t>ВФЧ/ШВ/У/4121</t>
  </si>
  <si>
    <t>Булах Михайло Олександрович</t>
  </si>
  <si>
    <t>ВФЧ/ШВ/У/4122</t>
  </si>
  <si>
    <t>Муравська Маргарита Ігорівна</t>
  </si>
  <si>
    <t>ВФЧ/ШВ/У/4123</t>
  </si>
  <si>
    <t>Полуцький Кирило Вячеславович</t>
  </si>
  <si>
    <t>ВФЧ/ШВ/У/4124</t>
  </si>
  <si>
    <t>Черненко Олександр Олександрович</t>
  </si>
  <si>
    <t>ВФЧ/ШВ/У/4125</t>
  </si>
  <si>
    <t>Мурашко Анастасія Олександрівна</t>
  </si>
  <si>
    <t>ВФЧ/ШВ/У/4126</t>
  </si>
  <si>
    <t>Губар Маргарита Максимівна</t>
  </si>
  <si>
    <t>ВФЧ/ШВ/У/4127</t>
  </si>
  <si>
    <t>Свєтлова Луїза Артемівна</t>
  </si>
  <si>
    <t>ВФЧ/ШВ/У/4128</t>
  </si>
  <si>
    <t>Нестеренко Вікторія Романівна</t>
  </si>
  <si>
    <t>ВФЧ/ШВ/У/4129</t>
  </si>
  <si>
    <t>Шаран Марія Віталіївна</t>
  </si>
  <si>
    <t>ВФЧ/ШВ/У/4130</t>
  </si>
  <si>
    <t>Ухо  Валерія Сергіївна</t>
  </si>
  <si>
    <t>ВФЧ/ШВ/У/4131</t>
  </si>
  <si>
    <t>Комунальний заклад освіти «Ліцей «Синергія» Дніпропетровської обласної ради»</t>
  </si>
  <si>
    <t xml:space="preserve"> Шаповал Ольга Ігорівна</t>
  </si>
  <si>
    <t>Артемова Олена Олексіївна</t>
  </si>
  <si>
    <t>ВФЧ/ШВ/У/4132</t>
  </si>
  <si>
    <t>Афоніна Лілія Юріївна</t>
  </si>
  <si>
    <t>ВФЧ/ШВ/У/4133</t>
  </si>
  <si>
    <t>Бендерська Софія Вадимівна</t>
  </si>
  <si>
    <t>ВФЧ/ШВ/У/4134</t>
  </si>
  <si>
    <t>Вайнілович Анастасія Дмитрівна</t>
  </si>
  <si>
    <t>ВФЧ/ШВ/У/4135</t>
  </si>
  <si>
    <t>Верба Єгор Євгенович</t>
  </si>
  <si>
    <t>ВФЧ/ШВ/У/4136</t>
  </si>
  <si>
    <t>Вовк Олександра Тимурівна</t>
  </si>
  <si>
    <t>ВФЧ/ШВ/У/4137</t>
  </si>
  <si>
    <t>Воробйова Марія Сергіївна</t>
  </si>
  <si>
    <t>ВФЧ/ШВ/У/4138</t>
  </si>
  <si>
    <t>Гоголь Єгор Дмитрович</t>
  </si>
  <si>
    <t>ВФЧ/ШВ/У/4139</t>
  </si>
  <si>
    <t>Гребінко Марія Олексіївна</t>
  </si>
  <si>
    <t>ВФЧ/ШВ/У/4140</t>
  </si>
  <si>
    <t>Грійб Дмитро Віталійович</t>
  </si>
  <si>
    <t>ВФЧ/ШВ/У/4141</t>
  </si>
  <si>
    <t>Драган Єгор Олександрович</t>
  </si>
  <si>
    <t>ВФЧ/ШВ/У/4142</t>
  </si>
  <si>
    <t>Зуєнко Марія Олександрівна</t>
  </si>
  <si>
    <t>ВФЧ/ШВ/У/4143</t>
  </si>
  <si>
    <t>Іваньєв Денис Едуардович</t>
  </si>
  <si>
    <t>ВФЧ/ШВ/У/4144</t>
  </si>
  <si>
    <t>Коваленко Кирило Андрійович</t>
  </si>
  <si>
    <t>ВФЧ/ШВ/У/4145</t>
  </si>
  <si>
    <t>Кондаков Данило Олександрович</t>
  </si>
  <si>
    <t>ВФЧ/ШВ/У/4146</t>
  </si>
  <si>
    <t>Лантушенко Костянтин Костянтинович</t>
  </si>
  <si>
    <t>ВФЧ/ШВ/У/4147</t>
  </si>
  <si>
    <t>Лебеденко Нікіта Євгенович</t>
  </si>
  <si>
    <t>ВФЧ/ШВ/У/4148</t>
  </si>
  <si>
    <t>Лещенко Катерина Андріївна</t>
  </si>
  <si>
    <t>ВФЧ/ШВ/У/4149</t>
  </si>
  <si>
    <t>Лоза Євгенія Олексіївна</t>
  </si>
  <si>
    <t>ВФЧ/ШВ/У/4150</t>
  </si>
  <si>
    <t>Ляхов Олександр Володимирович</t>
  </si>
  <si>
    <t>ВФЧ/ШВ/У/4151</t>
  </si>
  <si>
    <t>Муканова Дана Денисівна</t>
  </si>
  <si>
    <t>ВФЧ/ШВ/У/4152</t>
  </si>
  <si>
    <t>Овчаренко Тимур Романович</t>
  </si>
  <si>
    <t>ВФЧ/ШВ/У/4153</t>
  </si>
  <si>
    <t>Петрова Ірина Олегівна</t>
  </si>
  <si>
    <t>ВФЧ/ШВ/У/4154</t>
  </si>
  <si>
    <t>Плиска Валерія Валеріївна</t>
  </si>
  <si>
    <t>ВФЧ/ШВ/У/4155</t>
  </si>
  <si>
    <t>Стебакова Юлія Олександрівна</t>
  </si>
  <si>
    <t>ВФЧ/ШВ/У/4156</t>
  </si>
  <si>
    <t>Третяк Дарина Максимівна</t>
  </si>
  <si>
    <t>ВФЧ/ШВ/У/4157</t>
  </si>
  <si>
    <t>Шеремет Софія Ігорович</t>
  </si>
  <si>
    <t>ВФЧ/ШВ/У/4158</t>
  </si>
  <si>
    <t>Акієва Аніна Салаудівна</t>
  </si>
  <si>
    <t>ВФЧ/ШВ/У/4159</t>
  </si>
  <si>
    <t>Балабан Софія Єгорівна</t>
  </si>
  <si>
    <t>ВФЧ/ШВ/У/4160</t>
  </si>
  <si>
    <t>Біленко Микита Сергійович</t>
  </si>
  <si>
    <t>ВФЧ/ШВ/У/4161</t>
  </si>
  <si>
    <t>Вареник Єгор Віталійович</t>
  </si>
  <si>
    <t>ВФЧ/ШВ/У/4162</t>
  </si>
  <si>
    <t>Вус Влада Василівна</t>
  </si>
  <si>
    <t>ВФЧ/ШВ/У/4163</t>
  </si>
  <si>
    <t>Григорашенко Максим Миколайович</t>
  </si>
  <si>
    <t>ВФЧ/ШВ/У/4164</t>
  </si>
  <si>
    <t>Дробот Ярослав Юрійович</t>
  </si>
  <si>
    <t>ВФЧ/ШВ/У/4165</t>
  </si>
  <si>
    <t>Ігнатенко Тимур Артемович</t>
  </si>
  <si>
    <t>ВФЧ/ШВ/У/4166</t>
  </si>
  <si>
    <t>Камишов Вадим Олександрович</t>
  </si>
  <si>
    <t>ВФЧ/ШВ/У/4167</t>
  </si>
  <si>
    <t>Кочеріна Дар'я Романівна</t>
  </si>
  <si>
    <t>ВФЧ/ШВ/У/4168</t>
  </si>
  <si>
    <t>Кравцова Ангеліна Сергіївна</t>
  </si>
  <si>
    <t>ВФЧ/ШВ/У/4169</t>
  </si>
  <si>
    <t>Міленіна Катерина Вікторівна</t>
  </si>
  <si>
    <t>ВФЧ/ШВ/У/4170</t>
  </si>
  <si>
    <t>Мороз Маріанна Костянтинівна</t>
  </si>
  <si>
    <t>ВФЧ/ШВ/У/4171</t>
  </si>
  <si>
    <t>Принько Ян Олександрович</t>
  </si>
  <si>
    <t>ВФЧ/ШВ/У/4172</t>
  </si>
  <si>
    <t>Харченко Кіра Боженовна</t>
  </si>
  <si>
    <t>ВФЧ/ШВ/У/4173</t>
  </si>
  <si>
    <t>Юдін Іван Дмитрович</t>
  </si>
  <si>
    <t>ВФЧ/ШВ/У/4174</t>
  </si>
  <si>
    <t>Зеленодольський ліцей Зеленодольської міської ради</t>
  </si>
  <si>
    <t>Гдадкий Андрій Григорович</t>
  </si>
  <si>
    <t>Галаган Іванна Іванівна</t>
  </si>
  <si>
    <t>ВФЧ/ШВ/У/4175</t>
  </si>
  <si>
    <t>Мальо Валерія Вікторівна</t>
  </si>
  <si>
    <t>ВФЧ/ШВ/У/4176</t>
  </si>
  <si>
    <t>Орєхова Альбіна Сергіївна</t>
  </si>
  <si>
    <t>ВФЧ/ШВ/У/4177</t>
  </si>
  <si>
    <t>Калашнікова Кароліна Владиславівна</t>
  </si>
  <si>
    <t>ВФЧ/ШВ/У/4178</t>
  </si>
  <si>
    <t>Луценко Іван Максимович</t>
  </si>
  <si>
    <t>ВФЧ/ШВ/У/4179</t>
  </si>
  <si>
    <t>Бондар Іван Максимович</t>
  </si>
  <si>
    <t>ВФЧ/ШВ/У/4180</t>
  </si>
  <si>
    <t>Тростянецький ліцей</t>
  </si>
  <si>
    <t>Мальон Наталія Євгенівна</t>
  </si>
  <si>
    <t>Малик Марія</t>
  </si>
  <si>
    <t>№ з/п</t>
  </si>
  <si>
    <t>Номер сертифіката</t>
  </si>
  <si>
    <t>Навчальний заклад</t>
  </si>
  <si>
    <t>Кремінський ліцей №5 Кремінської міської ради Луганської області</t>
  </si>
  <si>
    <t>Криворізький ліцей №35 "Імпульс"Криворізької міської ради</t>
  </si>
  <si>
    <t>Мосолова Наталя Миколаївна</t>
  </si>
  <si>
    <t>Боровик Максим Ігорович</t>
  </si>
  <si>
    <t>Денисенко Дана Ігорівна</t>
  </si>
  <si>
    <t>Зозулевич Ярина Юріївна</t>
  </si>
  <si>
    <t>Ігнатенко Вікторія Олегівна</t>
  </si>
  <si>
    <t>Кравченко Михайло Михайлович</t>
  </si>
  <si>
    <t>Мельніченко Надія Ігорівна</t>
  </si>
  <si>
    <t>Пащенко Діана Євгенівна</t>
  </si>
  <si>
    <t>Слободяник Ганна Павлівна</t>
  </si>
  <si>
    <t>Шушарін Назарій Іванович</t>
  </si>
  <si>
    <t>Криворізький ліцей №24</t>
  </si>
  <si>
    <t xml:space="preserve">Шевченко Оксана Іванівна </t>
  </si>
  <si>
    <t>Коваленко Дар'я Олексіївна</t>
  </si>
  <si>
    <t>Коркач Олександра Володимирівна</t>
  </si>
  <si>
    <t>Нетис Ярослава Іванівна</t>
  </si>
  <si>
    <t>Шевченко Дар'я Олександрівна</t>
  </si>
  <si>
    <t>Кістень Олександра</t>
  </si>
  <si>
    <t>Гупало Альона Сергіївна</t>
  </si>
  <si>
    <t>Криворізький ліцей 49</t>
  </si>
  <si>
    <t>Баланюк Тетяна  Юріївна</t>
  </si>
  <si>
    <t>Бочаров Владислав Олексійович</t>
  </si>
  <si>
    <t>Мнацаканян Тетяна Ігорівна</t>
  </si>
  <si>
    <t>Ваврушак Дар'я Сергіївна</t>
  </si>
  <si>
    <t>Сидоренко Марина Сергіївна</t>
  </si>
  <si>
    <t>Величко Павло Дмитрович</t>
  </si>
  <si>
    <t>Рашевська Софія Олесандрівна</t>
  </si>
  <si>
    <t>Андрієнко Микита Олександрович</t>
  </si>
  <si>
    <t>Завалій Віолетта  Максимівна</t>
  </si>
  <si>
    <t>Неруш Назарій Сергійович</t>
  </si>
  <si>
    <t>Зінченко Кіра Іванівна</t>
  </si>
  <si>
    <t>Лугова Ірина  Віталіївна</t>
  </si>
  <si>
    <t>Скорульський  Андрій Юрійович</t>
  </si>
  <si>
    <t>Дядечко Євгенія Олегівна</t>
  </si>
  <si>
    <t>Яковенко Вікторія Дмитрівна</t>
  </si>
  <si>
    <t>Манько Марко  Станіславович</t>
  </si>
  <si>
    <t>ВФЧ/ШВ/У/4181</t>
  </si>
  <si>
    <t>ВФЧ/ШВ/У/4182</t>
  </si>
  <si>
    <t>ВФЧ/ШВ/У/4183</t>
  </si>
  <si>
    <t>ВФЧ/ШВ/У/4184</t>
  </si>
  <si>
    <t>ВФЧ/ШВ/У/4185</t>
  </si>
  <si>
    <t>ВФЧ/ШВ/У/4186</t>
  </si>
  <si>
    <t>ВФЧ/ШВ/У/4187</t>
  </si>
  <si>
    <t>ВФЧ/ШВ/У/4188</t>
  </si>
  <si>
    <t>ВФЧ/ШВ/У/4189</t>
  </si>
  <si>
    <t>ВФЧ/ШВ/У/4190</t>
  </si>
  <si>
    <t>ВФЧ/ШВ/У/4191</t>
  </si>
  <si>
    <t>ВФЧ/ШВ/У/4192</t>
  </si>
  <si>
    <t>ВФЧ/ШВ/У/4193</t>
  </si>
  <si>
    <t>ВФЧ/ШВ/У/4194</t>
  </si>
  <si>
    <t>ВФЧ/ШВ/У/4195</t>
  </si>
  <si>
    <t>ВФЧ/ШВ/У/4196</t>
  </si>
  <si>
    <t>ВФЧ/ШВ/У/4197</t>
  </si>
  <si>
    <t>ВФЧ/ШВ/У/4198</t>
  </si>
  <si>
    <t>ВФЧ/ШВ/У/4199</t>
  </si>
  <si>
    <t>ВФЧ/ШВ/У/4200</t>
  </si>
  <si>
    <t>ВФЧ/ШВ/У/4201</t>
  </si>
  <si>
    <t>ВФЧ/ШВ/У/4202</t>
  </si>
  <si>
    <t>ВФЧ/ШВ/У/4203</t>
  </si>
  <si>
    <t>ВФЧ/ШВ/У/4204</t>
  </si>
  <si>
    <t>ВФЧ/ШВ/У/4205</t>
  </si>
  <si>
    <t>ВФЧ/ШВ/У/4206</t>
  </si>
  <si>
    <t>ВФЧ/ШВ/У/4207</t>
  </si>
  <si>
    <t>ВФЧ/ШВ/У/4208</t>
  </si>
  <si>
    <t>ВФЧ/ШВ/У/4209</t>
  </si>
  <si>
    <t>ВФЧ/ШВ/У/4210</t>
  </si>
  <si>
    <t>ВФЧ/ШВ/У/4211</t>
  </si>
  <si>
    <t>ВФЧ/ШВ/У/4212</t>
  </si>
  <si>
    <t>ВФЧ/ШВ/У/4213</t>
  </si>
  <si>
    <t>ВФЧ/ШВ/У/4214</t>
  </si>
  <si>
    <t>ВФЧ/ШВ/У/4215</t>
  </si>
  <si>
    <t>ВФЧ/ШВ/У/4216</t>
  </si>
  <si>
    <t>Радушненський ліцей Новопільської сільської ради</t>
  </si>
  <si>
    <t>Вознюк Тетяна Олексіївна</t>
  </si>
  <si>
    <t>Захаренко Аліна Миколаївна</t>
  </si>
  <si>
    <t>ВФЧ/ШВ/У/4217</t>
  </si>
  <si>
    <t>Кравцов Максим Андрійович</t>
  </si>
  <si>
    <t>ВФЧ/ШВ/У/4218</t>
  </si>
  <si>
    <t>Макагон Влада Владиславівна</t>
  </si>
  <si>
    <t>ВФЧ/ШВ/У/4219</t>
  </si>
  <si>
    <t>Іванченко Карина Олександрівна</t>
  </si>
  <si>
    <t>ВФЧ/ШВ/У/4220</t>
  </si>
  <si>
    <t>Комунальний заклад "Харківський ліцей № 107 Харківської міської ради"</t>
  </si>
  <si>
    <t>Буряк Юлія Леонідівна</t>
  </si>
  <si>
    <t>Токарева Марія Михайлівна</t>
  </si>
  <si>
    <t>ВФЧ/ШВ/У/4221</t>
  </si>
  <si>
    <t>Конасов СтаніславДенисович</t>
  </si>
  <si>
    <t>ВФЧ/ШВ/У/4222</t>
  </si>
  <si>
    <t>Фенніч Ангеліна Олександрівна</t>
  </si>
  <si>
    <t>ВФЧ/ШВ/У/4223</t>
  </si>
  <si>
    <t>Гіблов Макс Сергійович</t>
  </si>
  <si>
    <t>ВФЧ/ШВ/У/4224</t>
  </si>
  <si>
    <t>Походенко Софія Сергіївна</t>
  </si>
  <si>
    <t>ВФЧ/ШВ/У/4225</t>
  </si>
  <si>
    <t>Кройтор Анна Романівна</t>
  </si>
  <si>
    <t>ВФЧ/ШВ/У/4226</t>
  </si>
  <si>
    <t>Курчина Дар'я Максимівна</t>
  </si>
  <si>
    <t>Сокур Людмила Олександрівна</t>
  </si>
  <si>
    <t>ВФЧ/ШВ/У/4227</t>
  </si>
  <si>
    <t>ВФЧ/ШВ/У/4228</t>
  </si>
  <si>
    <t>ВФЧ/ШВ/У/4229</t>
  </si>
  <si>
    <t>ВФЧ/ШВ/У/4230</t>
  </si>
  <si>
    <t>ВФЧ/ШВ/У/4231</t>
  </si>
  <si>
    <t>ВФЧ/ШВ/У/4232</t>
  </si>
  <si>
    <t>ВФЧ/ШВ/У/4233</t>
  </si>
  <si>
    <t>ВФЧ/ШВ/У/4234</t>
  </si>
  <si>
    <t>ВФЧ/ШВ/У/4235</t>
  </si>
  <si>
    <t>ВФЧ/ШВ/У/4236</t>
  </si>
  <si>
    <t>ВФЧ/ШВ/У/4237</t>
  </si>
  <si>
    <t>ВФЧ/ШВ/У/4238</t>
  </si>
  <si>
    <t>ВФЧ/ШВ/У/4239</t>
  </si>
  <si>
    <t>ВФЧ/ШВ/У/4240</t>
  </si>
  <si>
    <t>ВФЧ/ШВ/У/4241</t>
  </si>
  <si>
    <t>ВФЧ/ШВ/У/4242</t>
  </si>
  <si>
    <t>ВФЧ/ШВ/У/4243</t>
  </si>
  <si>
    <t>ВФЧ/ШВ/У/4244</t>
  </si>
  <si>
    <t>ВФЧ/ШВ/У/4245</t>
  </si>
  <si>
    <t>ВФЧ/ШВ/У/4246</t>
  </si>
  <si>
    <t>ВФЧ/ШВ/У/4247</t>
  </si>
  <si>
    <t>ВФЧ/ШВ/У/4248</t>
  </si>
  <si>
    <t>ВФЧ/ШВ/У/4249</t>
  </si>
  <si>
    <t>ВФЧ/ШВ/У/4250</t>
  </si>
  <si>
    <t>ВФЧ/ШВ/У/4251</t>
  </si>
  <si>
    <t>ВФЧ/ШВ/У/4252</t>
  </si>
  <si>
    <t>ВФЧ/ШВ/У/4253</t>
  </si>
  <si>
    <t>ВФЧ/ШВ/У/4254</t>
  </si>
  <si>
    <t>ВФЧ/ШВ/У/4255</t>
  </si>
  <si>
    <t>ВФЧ/ШВ/У/4256</t>
  </si>
  <si>
    <t>ВФЧ/ШВ/У/4257</t>
  </si>
  <si>
    <t>ВФЧ/ШВ/У/4258</t>
  </si>
  <si>
    <t>ВФЧ/ШВ/У/4259</t>
  </si>
  <si>
    <t>ВФЧ/ШВ/У/4260</t>
  </si>
  <si>
    <t>Черкаський гуманітарно-правовий ліцей Черкаської міської ради Черкаської області</t>
  </si>
  <si>
    <t>Гадяцький ліцей №1 імені Олени Пчілки</t>
  </si>
  <si>
    <t>Терлецька Олеся Федорівна</t>
  </si>
  <si>
    <t>Копійка Тетяна Григорівна</t>
  </si>
  <si>
    <t>Гарнага Світлана Іванівна</t>
  </si>
  <si>
    <t>Бабій Вячеслав Сергійович</t>
  </si>
  <si>
    <t>Гонтарук Дарія Василівна</t>
  </si>
  <si>
    <t>Дем'яник Артем Генадійович</t>
  </si>
  <si>
    <t>Кохановський Владислав Васильович</t>
  </si>
  <si>
    <t>Майструк Дмитро Євгенійович</t>
  </si>
  <si>
    <t>Муляр Олександра Юріївна</t>
  </si>
  <si>
    <t>Терлецький Іван Богданович</t>
  </si>
  <si>
    <t>Юров Дмитро Олександрович</t>
  </si>
  <si>
    <t>Ямковий Вячеслав Анатолійович</t>
  </si>
  <si>
    <t>Сайнецький Максим Олександрович</t>
  </si>
  <si>
    <t>Цибульський Артур Вікторович</t>
  </si>
  <si>
    <t>Цимбал Богдан Вадимович</t>
  </si>
  <si>
    <t>Четиркін Віталій Олександрович</t>
  </si>
  <si>
    <t>Шерстюк Станіслав Олександрович</t>
  </si>
  <si>
    <t>Вегера Михайло Вікторович</t>
  </si>
  <si>
    <t>Душка Маріна Вячеславівна</t>
  </si>
  <si>
    <t>Кириченко Денис Максимович</t>
  </si>
  <si>
    <t>Мартинюк Поліна Сергіївна</t>
  </si>
  <si>
    <t>Медведенко назар Русланович</t>
  </si>
  <si>
    <t>Пуйшо Поліна Володимирівна</t>
  </si>
  <si>
    <t>Рева Даниіл Русланович</t>
  </si>
  <si>
    <t>Сердюк Максим Ігорович</t>
  </si>
  <si>
    <t>Снісаренко Надія Олександрівна</t>
  </si>
  <si>
    <t>Тимофєєва Катерина Ігорівна</t>
  </si>
  <si>
    <t>Унтілова Олександріна Сергіївна</t>
  </si>
  <si>
    <t>Швайгер Віталій Іванович</t>
  </si>
  <si>
    <t>Штефанюк Мар'яна Олексіївна</t>
  </si>
  <si>
    <t>Щербатюк Маргарита Валеріївна</t>
  </si>
  <si>
    <t>Мотрич Дмитро Валерійович</t>
  </si>
  <si>
    <t>Лизогуб Каріна Сергіївна</t>
  </si>
  <si>
    <t>Расторгуєва Валерія Валеріївна</t>
  </si>
  <si>
    <t>Панасенко Аліса Олександрівна</t>
  </si>
  <si>
    <t>Кіт Анастасія Юріївна</t>
  </si>
  <si>
    <t>Пограничний Роман 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</si>
</sst>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2" borderId="0" xfId="0" applyFill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talan.bank.gov.ua/get-user-certificate/J5325tvacM68nt5ky0Ba" TargetMode="External"/><Relationship Id="rId3182" Type="http://schemas.openxmlformats.org/officeDocument/2006/relationships/hyperlink" Target="https://talan.bank.gov.ua/get-user-certificate/J5325rmnIJCR4kGVQCCh" TargetMode="External"/><Relationship Id="rId4233" Type="http://schemas.openxmlformats.org/officeDocument/2006/relationships/hyperlink" Target="https://talan.bank.gov.ua/get-user-certificate/CYWPHm6csjQXZ2v2jFWS" TargetMode="External"/><Relationship Id="rId3999" Type="http://schemas.openxmlformats.org/officeDocument/2006/relationships/hyperlink" Target="https://talan.bank.gov.ua/get-user-certificate/J532546jkcRNOo3Rh9XJ" TargetMode="External"/><Relationship Id="rId170" Type="http://schemas.openxmlformats.org/officeDocument/2006/relationships/hyperlink" Target="https://talan.bank.gov.ua/get-user-certificate/J5325AE5Z32lt31ZlMeB" TargetMode="External"/><Relationship Id="rId987" Type="http://schemas.openxmlformats.org/officeDocument/2006/relationships/hyperlink" Target="https://talan.bank.gov.ua/get-user-certificate/J53250o1XOfkzYo7Pprk" TargetMode="External"/><Relationship Id="rId2668" Type="http://schemas.openxmlformats.org/officeDocument/2006/relationships/hyperlink" Target="https://talan.bank.gov.ua/get-user-certificate/J5325j6rTH7hnFbsa6xK" TargetMode="External"/><Relationship Id="rId3719" Type="http://schemas.openxmlformats.org/officeDocument/2006/relationships/hyperlink" Target="https://talan.bank.gov.ua/get-user-certificate/J5325eHLzjUHZh4ND01r" TargetMode="External"/><Relationship Id="rId4090" Type="http://schemas.openxmlformats.org/officeDocument/2006/relationships/hyperlink" Target="https://talan.bank.gov.ua/get-user-certificate/J5325nl9eLSAJRQrnXlB" TargetMode="External"/><Relationship Id="rId1684" Type="http://schemas.openxmlformats.org/officeDocument/2006/relationships/hyperlink" Target="https://talan.bank.gov.ua/get-user-certificate/J5325BwFNwBsEgvbcBQd" TargetMode="External"/><Relationship Id="rId2735" Type="http://schemas.openxmlformats.org/officeDocument/2006/relationships/hyperlink" Target="https://talan.bank.gov.ua/get-user-certificate/J5325Hwc2cIlZHy6S4al" TargetMode="External"/><Relationship Id="rId707" Type="http://schemas.openxmlformats.org/officeDocument/2006/relationships/hyperlink" Target="https://talan.bank.gov.ua/get-user-certificate/J5325TqMrYFeYxLA2sBn" TargetMode="External"/><Relationship Id="rId1337" Type="http://schemas.openxmlformats.org/officeDocument/2006/relationships/hyperlink" Target="https://talan.bank.gov.ua/get-user-certificate/J5325wbsnu_alnPB8CrH" TargetMode="External"/><Relationship Id="rId1751" Type="http://schemas.openxmlformats.org/officeDocument/2006/relationships/hyperlink" Target="https://talan.bank.gov.ua/get-user-certificate/J5325f6c42zxlc9IscOv" TargetMode="External"/><Relationship Id="rId2802" Type="http://schemas.openxmlformats.org/officeDocument/2006/relationships/hyperlink" Target="https://talan.bank.gov.ua/get-user-certificate/J5325wqzTK-TjZns-JWO" TargetMode="External"/><Relationship Id="rId43" Type="http://schemas.openxmlformats.org/officeDocument/2006/relationships/hyperlink" Target="https://talan.bank.gov.ua/get-user-certificate/J5325xCcwTNZC_ByvPXI" TargetMode="External"/><Relationship Id="rId1404" Type="http://schemas.openxmlformats.org/officeDocument/2006/relationships/hyperlink" Target="https://talan.bank.gov.ua/get-user-certificate/J5325HDjl8NyRS4Ik83K" TargetMode="External"/><Relationship Id="rId3576" Type="http://schemas.openxmlformats.org/officeDocument/2006/relationships/hyperlink" Target="https://talan.bank.gov.ua/get-user-certificate/J53250aDs3biDYNrB-iv" TargetMode="External"/><Relationship Id="rId497" Type="http://schemas.openxmlformats.org/officeDocument/2006/relationships/hyperlink" Target="https://talan.bank.gov.ua/get-user-certificate/J5325rjKBIDEk5nt4Rri" TargetMode="External"/><Relationship Id="rId2178" Type="http://schemas.openxmlformats.org/officeDocument/2006/relationships/hyperlink" Target="https://talan.bank.gov.ua/get-user-certificate/J5325aOvUBVTiqWdTYkD" TargetMode="External"/><Relationship Id="rId3229" Type="http://schemas.openxmlformats.org/officeDocument/2006/relationships/hyperlink" Target="https://talan.bank.gov.ua/get-user-certificate/J5325kRQpLpGMnrqKUR5" TargetMode="External"/><Relationship Id="rId3990" Type="http://schemas.openxmlformats.org/officeDocument/2006/relationships/hyperlink" Target="https://talan.bank.gov.ua/get-user-certificate/J5325EEvIEAwfVONBscL" TargetMode="External"/><Relationship Id="rId1194" Type="http://schemas.openxmlformats.org/officeDocument/2006/relationships/hyperlink" Target="https://talan.bank.gov.ua/get-user-certificate/J5325zctU1gNNyrgIH9N" TargetMode="External"/><Relationship Id="rId2592" Type="http://schemas.openxmlformats.org/officeDocument/2006/relationships/hyperlink" Target="https://talan.bank.gov.ua/get-user-certificate/J5325W4CV3M4LxuujRqm" TargetMode="External"/><Relationship Id="rId3643" Type="http://schemas.openxmlformats.org/officeDocument/2006/relationships/hyperlink" Target="https://talan.bank.gov.ua/get-user-certificate/J5325DhIpq4J12L9Hrkf" TargetMode="External"/><Relationship Id="rId217" Type="http://schemas.openxmlformats.org/officeDocument/2006/relationships/hyperlink" Target="https://talan.bank.gov.ua/get-user-certificate/J5325Y6NjCMWtrFzIvIA" TargetMode="External"/><Relationship Id="rId564" Type="http://schemas.openxmlformats.org/officeDocument/2006/relationships/hyperlink" Target="https://talan.bank.gov.ua/get-user-certificate/J53251fm-GTLcv--5r-T" TargetMode="External"/><Relationship Id="rId2245" Type="http://schemas.openxmlformats.org/officeDocument/2006/relationships/hyperlink" Target="https://talan.bank.gov.ua/get-user-certificate/J5325cuChQ6Wq5kLc_V1" TargetMode="External"/><Relationship Id="rId3710" Type="http://schemas.openxmlformats.org/officeDocument/2006/relationships/hyperlink" Target="https://talan.bank.gov.ua/get-user-certificate/J5325c05gJCCeXOP9Kqq" TargetMode="External"/><Relationship Id="rId631" Type="http://schemas.openxmlformats.org/officeDocument/2006/relationships/hyperlink" Target="https://talan.bank.gov.ua/get-user-certificate/J5325JW6NDlbUXZWAj2V" TargetMode="External"/><Relationship Id="rId1261" Type="http://schemas.openxmlformats.org/officeDocument/2006/relationships/hyperlink" Target="https://talan.bank.gov.ua/get-user-certificate/J5325TjP9fVz4pONvzbB" TargetMode="External"/><Relationship Id="rId2312" Type="http://schemas.openxmlformats.org/officeDocument/2006/relationships/hyperlink" Target="https://talan.bank.gov.ua/get-user-certificate/J5325uM6fgos2PQdBncj" TargetMode="External"/><Relationship Id="rId3086" Type="http://schemas.openxmlformats.org/officeDocument/2006/relationships/hyperlink" Target="https://talan.bank.gov.ua/get-user-certificate/J5325vplgtbTWwY-HBPI" TargetMode="External"/><Relationship Id="rId4137" Type="http://schemas.openxmlformats.org/officeDocument/2006/relationships/hyperlink" Target="https://talan.bank.gov.ua/get-user-certificate/J5325PfLxzI3kO39RpEQ" TargetMode="External"/><Relationship Id="rId3153" Type="http://schemas.openxmlformats.org/officeDocument/2006/relationships/hyperlink" Target="https://talan.bank.gov.ua/get-user-certificate/J5325Nynlo7cRZBJzeWJ" TargetMode="External"/><Relationship Id="rId4204" Type="http://schemas.openxmlformats.org/officeDocument/2006/relationships/hyperlink" Target="https://talan.bank.gov.ua/get-user-certificate/TbxZWIN3FtosCKSnxiHA" TargetMode="External"/><Relationship Id="rId141" Type="http://schemas.openxmlformats.org/officeDocument/2006/relationships/hyperlink" Target="https://talan.bank.gov.ua/get-user-certificate/J5325-pHWKmK7e5CZIXh" TargetMode="External"/><Relationship Id="rId3220" Type="http://schemas.openxmlformats.org/officeDocument/2006/relationships/hyperlink" Target="https://talan.bank.gov.ua/get-user-certificate/J53257kukeW3A5Bq7phT" TargetMode="External"/><Relationship Id="rId7" Type="http://schemas.openxmlformats.org/officeDocument/2006/relationships/hyperlink" Target="https://talan.bank.gov.ua/get-user-certificate/J5325epPAhbgofW1awEk" TargetMode="External"/><Relationship Id="rId2986" Type="http://schemas.openxmlformats.org/officeDocument/2006/relationships/hyperlink" Target="https://talan.bank.gov.ua/get-user-certificate/J5325RpwLxJEPRPqYTNB" TargetMode="External"/><Relationship Id="rId958" Type="http://schemas.openxmlformats.org/officeDocument/2006/relationships/hyperlink" Target="https://talan.bank.gov.ua/get-user-certificate/J5325CYoibAesy_hgwoZ" TargetMode="External"/><Relationship Id="rId1588" Type="http://schemas.openxmlformats.org/officeDocument/2006/relationships/hyperlink" Target="https://talan.bank.gov.ua/get-user-certificate/J5325txiThZ5G8FhHNSK" TargetMode="External"/><Relationship Id="rId2639" Type="http://schemas.openxmlformats.org/officeDocument/2006/relationships/hyperlink" Target="https://talan.bank.gov.ua/get-user-certificate/J5325kTaT4Lo_25tYZtf" TargetMode="External"/><Relationship Id="rId1655" Type="http://schemas.openxmlformats.org/officeDocument/2006/relationships/hyperlink" Target="https://talan.bank.gov.ua/get-user-certificate/J5325L7Ee9OTUsu5aMYi" TargetMode="External"/><Relationship Id="rId2706" Type="http://schemas.openxmlformats.org/officeDocument/2006/relationships/hyperlink" Target="https://talan.bank.gov.ua/get-user-certificate/J5325Bo0JyauiucJlomF" TargetMode="External"/><Relationship Id="rId4061" Type="http://schemas.openxmlformats.org/officeDocument/2006/relationships/hyperlink" Target="https://talan.bank.gov.ua/get-user-certificate/J5325IV7E4XfI8-EqLd6" TargetMode="External"/><Relationship Id="rId1308" Type="http://schemas.openxmlformats.org/officeDocument/2006/relationships/hyperlink" Target="https://talan.bank.gov.ua/get-user-certificate/J5325lspEB-XTq8zoC7l" TargetMode="External"/><Relationship Id="rId1722" Type="http://schemas.openxmlformats.org/officeDocument/2006/relationships/hyperlink" Target="https://talan.bank.gov.ua/get-user-certificate/J5325jLutiY-CGufAErT" TargetMode="External"/><Relationship Id="rId14" Type="http://schemas.openxmlformats.org/officeDocument/2006/relationships/hyperlink" Target="https://talan.bank.gov.ua/get-user-certificate/J5325dylpak1izyxrWqU" TargetMode="External"/><Relationship Id="rId3894" Type="http://schemas.openxmlformats.org/officeDocument/2006/relationships/hyperlink" Target="https://talan.bank.gov.ua/get-user-certificate/J5325z761wTPeWmaupJs" TargetMode="External"/><Relationship Id="rId2496" Type="http://schemas.openxmlformats.org/officeDocument/2006/relationships/hyperlink" Target="https://talan.bank.gov.ua/get-user-certificate/J5325jMIcrR4ycYHgFm7" TargetMode="External"/><Relationship Id="rId3547" Type="http://schemas.openxmlformats.org/officeDocument/2006/relationships/hyperlink" Target="https://talan.bank.gov.ua/get-user-certificate/J5325tHL9y0hF1xTrTuT" TargetMode="External"/><Relationship Id="rId3961" Type="http://schemas.openxmlformats.org/officeDocument/2006/relationships/hyperlink" Target="https://talan.bank.gov.ua/get-user-certificate/J5325zK2ijxKoU5HLAUP" TargetMode="External"/><Relationship Id="rId468" Type="http://schemas.openxmlformats.org/officeDocument/2006/relationships/hyperlink" Target="https://talan.bank.gov.ua/get-user-certificate/J5325SbO0cUi5jPH7E53" TargetMode="External"/><Relationship Id="rId882" Type="http://schemas.openxmlformats.org/officeDocument/2006/relationships/hyperlink" Target="https://talan.bank.gov.ua/get-user-certificate/J5325iLCFP94S4V8KFri" TargetMode="External"/><Relationship Id="rId1098" Type="http://schemas.openxmlformats.org/officeDocument/2006/relationships/hyperlink" Target="https://talan.bank.gov.ua/get-user-certificate/J53256ofasVN7frrl2Ug" TargetMode="External"/><Relationship Id="rId2149" Type="http://schemas.openxmlformats.org/officeDocument/2006/relationships/hyperlink" Target="https://talan.bank.gov.ua/get-user-certificate/J5325tgwYyioY3wtcZUL" TargetMode="External"/><Relationship Id="rId2563" Type="http://schemas.openxmlformats.org/officeDocument/2006/relationships/hyperlink" Target="https://talan.bank.gov.ua/get-user-certificate/J5325xC8xnYI9voh1aA5" TargetMode="External"/><Relationship Id="rId3614" Type="http://schemas.openxmlformats.org/officeDocument/2006/relationships/hyperlink" Target="https://talan.bank.gov.ua/get-user-certificate/J5325ZrD9D-IiPJ3blpe" TargetMode="External"/><Relationship Id="rId535" Type="http://schemas.openxmlformats.org/officeDocument/2006/relationships/hyperlink" Target="https://talan.bank.gov.ua/get-user-certificate/J532501-ftGlc2sWflnm" TargetMode="External"/><Relationship Id="rId1165" Type="http://schemas.openxmlformats.org/officeDocument/2006/relationships/hyperlink" Target="https://talan.bank.gov.ua/get-user-certificate/J5325cMp8F51iBICPmii" TargetMode="External"/><Relationship Id="rId2216" Type="http://schemas.openxmlformats.org/officeDocument/2006/relationships/hyperlink" Target="https://talan.bank.gov.ua/get-user-certificate/J5325Z2YD9aZ-OJlSvpQ" TargetMode="External"/><Relationship Id="rId2630" Type="http://schemas.openxmlformats.org/officeDocument/2006/relationships/hyperlink" Target="https://talan.bank.gov.ua/get-user-certificate/J5325SzoCbfdT7Uu8zrQ" TargetMode="External"/><Relationship Id="rId602" Type="http://schemas.openxmlformats.org/officeDocument/2006/relationships/hyperlink" Target="https://talan.bank.gov.ua/get-user-certificate/J5325ul5CJG73hnIF-bX" TargetMode="External"/><Relationship Id="rId1232" Type="http://schemas.openxmlformats.org/officeDocument/2006/relationships/hyperlink" Target="https://talan.bank.gov.ua/get-user-certificate/J5325kR7ndWRjm8hLLPs" TargetMode="External"/><Relationship Id="rId3057" Type="http://schemas.openxmlformats.org/officeDocument/2006/relationships/hyperlink" Target="https://talan.bank.gov.ua/get-user-certificate/J5325iUTWv03rsZvEO4T" TargetMode="External"/><Relationship Id="rId4108" Type="http://schemas.openxmlformats.org/officeDocument/2006/relationships/hyperlink" Target="https://talan.bank.gov.ua/get-user-certificate/J53258zxkp5COR56dXFw" TargetMode="External"/><Relationship Id="rId3471" Type="http://schemas.openxmlformats.org/officeDocument/2006/relationships/hyperlink" Target="https://talan.bank.gov.ua/get-user-certificate/J5325-R7yubJ6BKr4LWn" TargetMode="External"/><Relationship Id="rId392" Type="http://schemas.openxmlformats.org/officeDocument/2006/relationships/hyperlink" Target="https://talan.bank.gov.ua/get-user-certificate/J5325LIa-nn23KZurruz" TargetMode="External"/><Relationship Id="rId2073" Type="http://schemas.openxmlformats.org/officeDocument/2006/relationships/hyperlink" Target="https://talan.bank.gov.ua/get-user-certificate/J5325Ll85k9KN2_IeCl6" TargetMode="External"/><Relationship Id="rId3124" Type="http://schemas.openxmlformats.org/officeDocument/2006/relationships/hyperlink" Target="https://talan.bank.gov.ua/get-user-certificate/J5325rizaWetbF1XWNcl" TargetMode="External"/><Relationship Id="rId2140" Type="http://schemas.openxmlformats.org/officeDocument/2006/relationships/hyperlink" Target="https://talan.bank.gov.ua/get-user-certificate/J53251gJSowAIEooSCwJ" TargetMode="External"/><Relationship Id="rId112" Type="http://schemas.openxmlformats.org/officeDocument/2006/relationships/hyperlink" Target="https://talan.bank.gov.ua/get-user-certificate/J5325ZAYMz4mNr6BBcj4" TargetMode="External"/><Relationship Id="rId2957" Type="http://schemas.openxmlformats.org/officeDocument/2006/relationships/hyperlink" Target="https://talan.bank.gov.ua/get-user-certificate/J5325TUa8T1LsEqL7IAN" TargetMode="External"/><Relationship Id="rId929" Type="http://schemas.openxmlformats.org/officeDocument/2006/relationships/hyperlink" Target="https://talan.bank.gov.ua/get-user-certificate/J5325nWemhkPOK2aF6oK" TargetMode="External"/><Relationship Id="rId1559" Type="http://schemas.openxmlformats.org/officeDocument/2006/relationships/hyperlink" Target="https://talan.bank.gov.ua/get-user-certificate/J53255ik_brWK6n5GFog" TargetMode="External"/><Relationship Id="rId1973" Type="http://schemas.openxmlformats.org/officeDocument/2006/relationships/hyperlink" Target="https://talan.bank.gov.ua/get-user-certificate/J5325YirGX84JH_TAJT4" TargetMode="External"/><Relationship Id="rId4032" Type="http://schemas.openxmlformats.org/officeDocument/2006/relationships/hyperlink" Target="https://talan.bank.gov.ua/get-user-certificate/J5325CTlO8HPMy0snNuG" TargetMode="External"/><Relationship Id="rId1626" Type="http://schemas.openxmlformats.org/officeDocument/2006/relationships/hyperlink" Target="https://talan.bank.gov.ua/get-user-certificate/J5325luHBWGFfmS7MqJX" TargetMode="External"/><Relationship Id="rId3798" Type="http://schemas.openxmlformats.org/officeDocument/2006/relationships/hyperlink" Target="https://talan.bank.gov.ua/get-user-certificate/J5325o_HzCbBZ5x3ZiQX" TargetMode="External"/><Relationship Id="rId3865" Type="http://schemas.openxmlformats.org/officeDocument/2006/relationships/hyperlink" Target="https://talan.bank.gov.ua/get-user-certificate/J53252XlnMetCWoAAjP2" TargetMode="External"/><Relationship Id="rId786" Type="http://schemas.openxmlformats.org/officeDocument/2006/relationships/hyperlink" Target="https://talan.bank.gov.ua/get-user-certificate/J53253UkL9jkcb4xumnf" TargetMode="External"/><Relationship Id="rId2467" Type="http://schemas.openxmlformats.org/officeDocument/2006/relationships/hyperlink" Target="https://talan.bank.gov.ua/get-user-certificate/J5325UxfbT0zwOKOLn8S" TargetMode="External"/><Relationship Id="rId3518" Type="http://schemas.openxmlformats.org/officeDocument/2006/relationships/hyperlink" Target="https://talan.bank.gov.ua/get-user-certificate/J5325Q6ctgeb0DglNwWL" TargetMode="External"/><Relationship Id="rId439" Type="http://schemas.openxmlformats.org/officeDocument/2006/relationships/hyperlink" Target="https://talan.bank.gov.ua/get-user-certificate/J5325DbpTHwBp9IqF-WY" TargetMode="External"/><Relationship Id="rId1069" Type="http://schemas.openxmlformats.org/officeDocument/2006/relationships/hyperlink" Target="https://talan.bank.gov.ua/get-user-certificate/J5325cPV61ChwwUnTjKU" TargetMode="External"/><Relationship Id="rId1483" Type="http://schemas.openxmlformats.org/officeDocument/2006/relationships/hyperlink" Target="https://talan.bank.gov.ua/get-user-certificate/J5325xP7fGj0AIzhQlMd" TargetMode="External"/><Relationship Id="rId2881" Type="http://schemas.openxmlformats.org/officeDocument/2006/relationships/hyperlink" Target="https://talan.bank.gov.ua/get-user-certificate/J5325MG6rz4ImE3btqiR" TargetMode="External"/><Relationship Id="rId3932" Type="http://schemas.openxmlformats.org/officeDocument/2006/relationships/hyperlink" Target="https://talan.bank.gov.ua/get-user-certificate/J53255KotchP45u8tp7T" TargetMode="External"/><Relationship Id="rId506" Type="http://schemas.openxmlformats.org/officeDocument/2006/relationships/hyperlink" Target="https://talan.bank.gov.ua/get-user-certificate/J53254mSr-8T8J1V0Z-6" TargetMode="External"/><Relationship Id="rId853" Type="http://schemas.openxmlformats.org/officeDocument/2006/relationships/hyperlink" Target="https://talan.bank.gov.ua/get-user-certificate/J5325snRZgrTKNa08JAG" TargetMode="External"/><Relationship Id="rId1136" Type="http://schemas.openxmlformats.org/officeDocument/2006/relationships/hyperlink" Target="https://talan.bank.gov.ua/get-user-certificate/J5325sKnBZqBV1W76Ti2" TargetMode="External"/><Relationship Id="rId2534" Type="http://schemas.openxmlformats.org/officeDocument/2006/relationships/hyperlink" Target="https://talan.bank.gov.ua/get-user-certificate/J5325Pkrt3LxXZ8qOFYj" TargetMode="External"/><Relationship Id="rId713" Type="http://schemas.openxmlformats.org/officeDocument/2006/relationships/hyperlink" Target="https://talan.bank.gov.ua/get-user-certificate/J5325E1FPWA3wk_ZSBqp" TargetMode="External"/><Relationship Id="rId920" Type="http://schemas.openxmlformats.org/officeDocument/2006/relationships/hyperlink" Target="https://talan.bank.gov.ua/get-user-certificate/J5325-E6abRyCbCqmfFZ" TargetMode="External"/><Relationship Id="rId1343" Type="http://schemas.openxmlformats.org/officeDocument/2006/relationships/hyperlink" Target="https://talan.bank.gov.ua/get-user-certificate/J5325FMnSZ_GQr_42YNl" TargetMode="External"/><Relationship Id="rId1550" Type="http://schemas.openxmlformats.org/officeDocument/2006/relationships/hyperlink" Target="https://talan.bank.gov.ua/get-user-certificate/J5325rwGTD636J5P_wJO" TargetMode="External"/><Relationship Id="rId2601" Type="http://schemas.openxmlformats.org/officeDocument/2006/relationships/hyperlink" Target="https://talan.bank.gov.ua/get-user-certificate/J5325484ntOdqENqiocC" TargetMode="External"/><Relationship Id="rId1203" Type="http://schemas.openxmlformats.org/officeDocument/2006/relationships/hyperlink" Target="https://talan.bank.gov.ua/get-user-certificate/J5325etSPPglB70xa2Xg" TargetMode="External"/><Relationship Id="rId1410" Type="http://schemas.openxmlformats.org/officeDocument/2006/relationships/hyperlink" Target="https://talan.bank.gov.ua/get-user-certificate/J5325h_fRRIVc8dYdqk5" TargetMode="External"/><Relationship Id="rId3168" Type="http://schemas.openxmlformats.org/officeDocument/2006/relationships/hyperlink" Target="https://talan.bank.gov.ua/get-user-certificate/J5325XTolOOG2AK5Volz" TargetMode="External"/><Relationship Id="rId3375" Type="http://schemas.openxmlformats.org/officeDocument/2006/relationships/hyperlink" Target="https://talan.bank.gov.ua/get-user-certificate/J5325rzpE8-7K3Edmjjk" TargetMode="External"/><Relationship Id="rId3582" Type="http://schemas.openxmlformats.org/officeDocument/2006/relationships/hyperlink" Target="https://talan.bank.gov.ua/get-user-certificate/J5325-QAVmgzYo6KrPLm" TargetMode="External"/><Relationship Id="rId4219" Type="http://schemas.openxmlformats.org/officeDocument/2006/relationships/hyperlink" Target="https://talan.bank.gov.ua/get-user-certificate/CYWPHkz82GQL1QWTx0Hf" TargetMode="External"/><Relationship Id="rId296" Type="http://schemas.openxmlformats.org/officeDocument/2006/relationships/hyperlink" Target="https://talan.bank.gov.ua/get-user-certificate/J5325aq8KETm4osR0nuq" TargetMode="External"/><Relationship Id="rId2184" Type="http://schemas.openxmlformats.org/officeDocument/2006/relationships/hyperlink" Target="https://talan.bank.gov.ua/get-user-certificate/J5325lDWOLbOPeylDgAf" TargetMode="External"/><Relationship Id="rId2391" Type="http://schemas.openxmlformats.org/officeDocument/2006/relationships/hyperlink" Target="https://talan.bank.gov.ua/get-user-certificate/J5325b2rkj5Dco_SyF4x" TargetMode="External"/><Relationship Id="rId3028" Type="http://schemas.openxmlformats.org/officeDocument/2006/relationships/hyperlink" Target="https://talan.bank.gov.ua/get-user-certificate/J5325Ao17GiyWIQYCPds" TargetMode="External"/><Relationship Id="rId3235" Type="http://schemas.openxmlformats.org/officeDocument/2006/relationships/hyperlink" Target="https://talan.bank.gov.ua/get-user-certificate/J5325qHES8_pwCFUhdRR" TargetMode="External"/><Relationship Id="rId3442" Type="http://schemas.openxmlformats.org/officeDocument/2006/relationships/hyperlink" Target="https://talan.bank.gov.ua/get-user-certificate/J5325fyog7umUUE6shTJ" TargetMode="External"/><Relationship Id="rId156" Type="http://schemas.openxmlformats.org/officeDocument/2006/relationships/hyperlink" Target="https://talan.bank.gov.ua/get-user-certificate/J53257plbunGVOWuPiFh" TargetMode="External"/><Relationship Id="rId363" Type="http://schemas.openxmlformats.org/officeDocument/2006/relationships/hyperlink" Target="https://talan.bank.gov.ua/get-user-certificate/J5325BLQvtxXByNmKWxD" TargetMode="External"/><Relationship Id="rId570" Type="http://schemas.openxmlformats.org/officeDocument/2006/relationships/hyperlink" Target="https://talan.bank.gov.ua/get-user-certificate/J5325YzDAnfsoghPgClY" TargetMode="External"/><Relationship Id="rId2044" Type="http://schemas.openxmlformats.org/officeDocument/2006/relationships/hyperlink" Target="https://talan.bank.gov.ua/get-user-certificate/J5325A30-u22kyaDDwyt" TargetMode="External"/><Relationship Id="rId2251" Type="http://schemas.openxmlformats.org/officeDocument/2006/relationships/hyperlink" Target="https://talan.bank.gov.ua/get-user-certificate/J5325gR11aI7tmOpw_h9" TargetMode="External"/><Relationship Id="rId3302" Type="http://schemas.openxmlformats.org/officeDocument/2006/relationships/hyperlink" Target="https://talan.bank.gov.ua/get-user-certificate/J53257VilJG4sM2k_PdG" TargetMode="External"/><Relationship Id="rId223" Type="http://schemas.openxmlformats.org/officeDocument/2006/relationships/hyperlink" Target="https://talan.bank.gov.ua/get-user-certificate/J5325SMYMoZFtglbSDHm" TargetMode="External"/><Relationship Id="rId430" Type="http://schemas.openxmlformats.org/officeDocument/2006/relationships/hyperlink" Target="https://talan.bank.gov.ua/get-user-certificate/J5325y8HeCZR2B5l_3g3" TargetMode="External"/><Relationship Id="rId1060" Type="http://schemas.openxmlformats.org/officeDocument/2006/relationships/hyperlink" Target="https://talan.bank.gov.ua/get-user-certificate/J53251CoGdgkk38sxoes" TargetMode="External"/><Relationship Id="rId2111" Type="http://schemas.openxmlformats.org/officeDocument/2006/relationships/hyperlink" Target="https://talan.bank.gov.ua/get-user-certificate/J5325CbcLjRYcV0XPEJu" TargetMode="External"/><Relationship Id="rId4076" Type="http://schemas.openxmlformats.org/officeDocument/2006/relationships/hyperlink" Target="https://talan.bank.gov.ua/get-user-certificate/J5325zv91L8gUnkp0qm8" TargetMode="External"/><Relationship Id="rId1877" Type="http://schemas.openxmlformats.org/officeDocument/2006/relationships/hyperlink" Target="https://talan.bank.gov.ua/get-user-certificate/J5325KeZs2Ue10W4lzFV" TargetMode="External"/><Relationship Id="rId2928" Type="http://schemas.openxmlformats.org/officeDocument/2006/relationships/hyperlink" Target="https://talan.bank.gov.ua/get-user-certificate/J5325Ev4ljMX09H_Bmau" TargetMode="External"/><Relationship Id="rId1737" Type="http://schemas.openxmlformats.org/officeDocument/2006/relationships/hyperlink" Target="https://talan.bank.gov.ua/get-user-certificate/J5325GTP7PZBvjgs5_jT" TargetMode="External"/><Relationship Id="rId1944" Type="http://schemas.openxmlformats.org/officeDocument/2006/relationships/hyperlink" Target="https://talan.bank.gov.ua/get-user-certificate/J5325bql3CEhLklVNxUf" TargetMode="External"/><Relationship Id="rId3092" Type="http://schemas.openxmlformats.org/officeDocument/2006/relationships/hyperlink" Target="https://talan.bank.gov.ua/get-user-certificate/J5325eequK-PeqOAlAnU" TargetMode="External"/><Relationship Id="rId4143" Type="http://schemas.openxmlformats.org/officeDocument/2006/relationships/hyperlink" Target="https://talan.bank.gov.ua/get-user-certificate/J5325D3CxCfK9395v7dk" TargetMode="External"/><Relationship Id="rId29" Type="http://schemas.openxmlformats.org/officeDocument/2006/relationships/hyperlink" Target="https://talan.bank.gov.ua/get-user-certificate/J5325frLlWKKBzoViZGR" TargetMode="External"/><Relationship Id="rId4003" Type="http://schemas.openxmlformats.org/officeDocument/2006/relationships/hyperlink" Target="https://talan.bank.gov.ua/get-user-certificate/J53258rvQ6VVQlNUY9d5" TargetMode="External"/><Relationship Id="rId4210" Type="http://schemas.openxmlformats.org/officeDocument/2006/relationships/hyperlink" Target="https://talan.bank.gov.ua/get-user-certificate/lHoZPCXuQKJGr1JkUn2N" TargetMode="External"/><Relationship Id="rId1804" Type="http://schemas.openxmlformats.org/officeDocument/2006/relationships/hyperlink" Target="https://talan.bank.gov.ua/get-user-certificate/J5325rULYNnOnXJzId47" TargetMode="External"/><Relationship Id="rId3769" Type="http://schemas.openxmlformats.org/officeDocument/2006/relationships/hyperlink" Target="https://talan.bank.gov.ua/get-user-certificate/J5325d9q9dJN9gvZeILV" TargetMode="External"/><Relationship Id="rId3976" Type="http://schemas.openxmlformats.org/officeDocument/2006/relationships/hyperlink" Target="https://talan.bank.gov.ua/get-user-certificate/J5325AFeqCka746NoqRw" TargetMode="External"/><Relationship Id="rId897" Type="http://schemas.openxmlformats.org/officeDocument/2006/relationships/hyperlink" Target="https://talan.bank.gov.ua/get-user-certificate/J5325hD8g_r-XUz7gFwm" TargetMode="External"/><Relationship Id="rId2578" Type="http://schemas.openxmlformats.org/officeDocument/2006/relationships/hyperlink" Target="https://talan.bank.gov.ua/get-user-certificate/J5325lIPNmA3_Nfsjt-G" TargetMode="External"/><Relationship Id="rId2785" Type="http://schemas.openxmlformats.org/officeDocument/2006/relationships/hyperlink" Target="https://talan.bank.gov.ua/get-user-certificate/J5325lquWTZvLTsO73cR" TargetMode="External"/><Relationship Id="rId2992" Type="http://schemas.openxmlformats.org/officeDocument/2006/relationships/hyperlink" Target="https://talan.bank.gov.ua/get-user-certificate/J53257v0_XyspeO4RB9a" TargetMode="External"/><Relationship Id="rId3629" Type="http://schemas.openxmlformats.org/officeDocument/2006/relationships/hyperlink" Target="https://talan.bank.gov.ua/get-user-certificate/J5325DINMtOtGzpqHFQl" TargetMode="External"/><Relationship Id="rId3836" Type="http://schemas.openxmlformats.org/officeDocument/2006/relationships/hyperlink" Target="https://talan.bank.gov.ua/get-user-certificate/J5325FFOJvvsOFaxoiYV" TargetMode="External"/><Relationship Id="rId757" Type="http://schemas.openxmlformats.org/officeDocument/2006/relationships/hyperlink" Target="https://talan.bank.gov.ua/get-user-certificate/J5325Tx-Y2ZcPScJK-fn" TargetMode="External"/><Relationship Id="rId964" Type="http://schemas.openxmlformats.org/officeDocument/2006/relationships/hyperlink" Target="https://talan.bank.gov.ua/get-user-certificate/J53251YvJn4Z545bufym" TargetMode="External"/><Relationship Id="rId1387" Type="http://schemas.openxmlformats.org/officeDocument/2006/relationships/hyperlink" Target="https://talan.bank.gov.ua/get-user-certificate/J5325Wa_ET148NbiJ8HE" TargetMode="External"/><Relationship Id="rId1594" Type="http://schemas.openxmlformats.org/officeDocument/2006/relationships/hyperlink" Target="https://talan.bank.gov.ua/get-user-certificate/J5325Mm6azcxH43De6cg" TargetMode="External"/><Relationship Id="rId2438" Type="http://schemas.openxmlformats.org/officeDocument/2006/relationships/hyperlink" Target="https://talan.bank.gov.ua/get-user-certificate/J5325rRPHo5a8fyqNSbJ" TargetMode="External"/><Relationship Id="rId2645" Type="http://schemas.openxmlformats.org/officeDocument/2006/relationships/hyperlink" Target="https://talan.bank.gov.ua/get-user-certificate/J5325BDzWjphiaKWYvZo" TargetMode="External"/><Relationship Id="rId2852" Type="http://schemas.openxmlformats.org/officeDocument/2006/relationships/hyperlink" Target="https://talan.bank.gov.ua/get-user-certificate/J5325gBGC-YCWZFzFfFV" TargetMode="External"/><Relationship Id="rId3903" Type="http://schemas.openxmlformats.org/officeDocument/2006/relationships/hyperlink" Target="https://talan.bank.gov.ua/get-user-certificate/J5325xL87pxQP_GAkiPR" TargetMode="External"/><Relationship Id="rId93" Type="http://schemas.openxmlformats.org/officeDocument/2006/relationships/hyperlink" Target="https://talan.bank.gov.ua/get-user-certificate/J53252Wl1Sm8986z7Mmd" TargetMode="External"/><Relationship Id="rId617" Type="http://schemas.openxmlformats.org/officeDocument/2006/relationships/hyperlink" Target="https://talan.bank.gov.ua/get-user-certificate/J53259G-Qbkm1HRaLV1X" TargetMode="External"/><Relationship Id="rId824" Type="http://schemas.openxmlformats.org/officeDocument/2006/relationships/hyperlink" Target="https://talan.bank.gov.ua/get-user-certificate/J5325rQVSxQoNHosgTi9" TargetMode="External"/><Relationship Id="rId1247" Type="http://schemas.openxmlformats.org/officeDocument/2006/relationships/hyperlink" Target="https://talan.bank.gov.ua/get-user-certificate/J5325ELYVyfgqHQ3fjnh" TargetMode="External"/><Relationship Id="rId1454" Type="http://schemas.openxmlformats.org/officeDocument/2006/relationships/hyperlink" Target="https://talan.bank.gov.ua/get-user-certificate/J5325KYuVOhItkimcGWk" TargetMode="External"/><Relationship Id="rId1661" Type="http://schemas.openxmlformats.org/officeDocument/2006/relationships/hyperlink" Target="https://talan.bank.gov.ua/get-user-certificate/J5325Um6t2wMk4LGMFse" TargetMode="External"/><Relationship Id="rId2505" Type="http://schemas.openxmlformats.org/officeDocument/2006/relationships/hyperlink" Target="https://talan.bank.gov.ua/get-user-certificate/J5325QcoD_aJXhlCtE0W" TargetMode="External"/><Relationship Id="rId2712" Type="http://schemas.openxmlformats.org/officeDocument/2006/relationships/hyperlink" Target="https://talan.bank.gov.ua/get-user-certificate/J5325-7PomtPfaDZf6sr" TargetMode="External"/><Relationship Id="rId1107" Type="http://schemas.openxmlformats.org/officeDocument/2006/relationships/hyperlink" Target="https://talan.bank.gov.ua/get-user-certificate/J5325ypRpisO28NuuzHO" TargetMode="External"/><Relationship Id="rId1314" Type="http://schemas.openxmlformats.org/officeDocument/2006/relationships/hyperlink" Target="https://talan.bank.gov.ua/get-user-certificate/J5325ixMUNEXtT3XNn_G" TargetMode="External"/><Relationship Id="rId1521" Type="http://schemas.openxmlformats.org/officeDocument/2006/relationships/hyperlink" Target="https://talan.bank.gov.ua/get-user-certificate/J5325kuAtS5jokmKwcHX" TargetMode="External"/><Relationship Id="rId3279" Type="http://schemas.openxmlformats.org/officeDocument/2006/relationships/hyperlink" Target="https://talan.bank.gov.ua/get-user-certificate/J53250oD0PINYZL0zSzQ" TargetMode="External"/><Relationship Id="rId3486" Type="http://schemas.openxmlformats.org/officeDocument/2006/relationships/hyperlink" Target="https://talan.bank.gov.ua/get-user-certificate/J5325o0dV2C0428x6HzW" TargetMode="External"/><Relationship Id="rId3693" Type="http://schemas.openxmlformats.org/officeDocument/2006/relationships/hyperlink" Target="https://talan.bank.gov.ua/get-user-certificate/J5325tXPVLVg3TEJcJzs" TargetMode="External"/><Relationship Id="rId20" Type="http://schemas.openxmlformats.org/officeDocument/2006/relationships/hyperlink" Target="https://talan.bank.gov.ua/get-user-certificate/J53257l0YCUbKiL74cq5" TargetMode="External"/><Relationship Id="rId2088" Type="http://schemas.openxmlformats.org/officeDocument/2006/relationships/hyperlink" Target="https://talan.bank.gov.ua/get-user-certificate/J5325_VpqozpD8spSWLP" TargetMode="External"/><Relationship Id="rId2295" Type="http://schemas.openxmlformats.org/officeDocument/2006/relationships/hyperlink" Target="https://talan.bank.gov.ua/get-user-certificate/J53250dC7BXV1AgQogQq" TargetMode="External"/><Relationship Id="rId3139" Type="http://schemas.openxmlformats.org/officeDocument/2006/relationships/hyperlink" Target="https://talan.bank.gov.ua/get-user-certificate/J5325rlcLoXFeLGx4tXB" TargetMode="External"/><Relationship Id="rId3346" Type="http://schemas.openxmlformats.org/officeDocument/2006/relationships/hyperlink" Target="https://talan.bank.gov.ua/get-user-certificate/J5325xVT5NJYcD5XHxzJ" TargetMode="External"/><Relationship Id="rId267" Type="http://schemas.openxmlformats.org/officeDocument/2006/relationships/hyperlink" Target="https://talan.bank.gov.ua/get-user-certificate/J5325_DPHYpQTBor2uAi" TargetMode="External"/><Relationship Id="rId474" Type="http://schemas.openxmlformats.org/officeDocument/2006/relationships/hyperlink" Target="https://talan.bank.gov.ua/get-user-certificate/J5325cii3vNICV_rFRcZ" TargetMode="External"/><Relationship Id="rId2155" Type="http://schemas.openxmlformats.org/officeDocument/2006/relationships/hyperlink" Target="https://talan.bank.gov.ua/get-user-certificate/J5325vNMfqH1wtfPZb5V" TargetMode="External"/><Relationship Id="rId3553" Type="http://schemas.openxmlformats.org/officeDocument/2006/relationships/hyperlink" Target="https://talan.bank.gov.ua/get-user-certificate/J5325zHKZrjVXQZhlOOp" TargetMode="External"/><Relationship Id="rId3760" Type="http://schemas.openxmlformats.org/officeDocument/2006/relationships/hyperlink" Target="https://talan.bank.gov.ua/get-user-certificate/J5325u3KMRI1vuOsntyC" TargetMode="External"/><Relationship Id="rId127" Type="http://schemas.openxmlformats.org/officeDocument/2006/relationships/hyperlink" Target="https://talan.bank.gov.ua/get-user-certificate/J5325e_lO3ab0xysRR0s" TargetMode="External"/><Relationship Id="rId681" Type="http://schemas.openxmlformats.org/officeDocument/2006/relationships/hyperlink" Target="https://talan.bank.gov.ua/get-user-certificate/J5325VeLMa9x8sIaRp7s" TargetMode="External"/><Relationship Id="rId2362" Type="http://schemas.openxmlformats.org/officeDocument/2006/relationships/hyperlink" Target="https://talan.bank.gov.ua/get-user-certificate/J5325tdLdSDJmI4rt2O7" TargetMode="External"/><Relationship Id="rId3206" Type="http://schemas.openxmlformats.org/officeDocument/2006/relationships/hyperlink" Target="https://talan.bank.gov.ua/get-user-certificate/J5325gIEWP1Pd1GI8lTZ" TargetMode="External"/><Relationship Id="rId3413" Type="http://schemas.openxmlformats.org/officeDocument/2006/relationships/hyperlink" Target="https://talan.bank.gov.ua/get-user-certificate/J5325P-NKgVsy_p_Sgf2" TargetMode="External"/><Relationship Id="rId3620" Type="http://schemas.openxmlformats.org/officeDocument/2006/relationships/hyperlink" Target="https://talan.bank.gov.ua/get-user-certificate/J5325RXvlTkgC4s2TLeO" TargetMode="External"/><Relationship Id="rId334" Type="http://schemas.openxmlformats.org/officeDocument/2006/relationships/hyperlink" Target="https://talan.bank.gov.ua/get-user-certificate/J5325yZa3vOQzb0fduDj" TargetMode="External"/><Relationship Id="rId541" Type="http://schemas.openxmlformats.org/officeDocument/2006/relationships/hyperlink" Target="https://talan.bank.gov.ua/get-user-certificate/J5325xiOc1X6yMWD_GAx" TargetMode="External"/><Relationship Id="rId1171" Type="http://schemas.openxmlformats.org/officeDocument/2006/relationships/hyperlink" Target="https://talan.bank.gov.ua/get-user-certificate/J5325qDglKr5N2WdDf9-" TargetMode="External"/><Relationship Id="rId2015" Type="http://schemas.openxmlformats.org/officeDocument/2006/relationships/hyperlink" Target="https://talan.bank.gov.ua/get-user-certificate/J5325_R_ccyM4Mtt0Xu2" TargetMode="External"/><Relationship Id="rId2222" Type="http://schemas.openxmlformats.org/officeDocument/2006/relationships/hyperlink" Target="https://talan.bank.gov.ua/get-user-certificate/J5325g9_tOZ4NubKxUd0" TargetMode="External"/><Relationship Id="rId401" Type="http://schemas.openxmlformats.org/officeDocument/2006/relationships/hyperlink" Target="https://talan.bank.gov.ua/get-user-certificate/J5325zSp25nYdX_oD7nx" TargetMode="External"/><Relationship Id="rId1031" Type="http://schemas.openxmlformats.org/officeDocument/2006/relationships/hyperlink" Target="https://talan.bank.gov.ua/get-user-certificate/J5325cleAWEU6pJbNTlk" TargetMode="External"/><Relationship Id="rId1988" Type="http://schemas.openxmlformats.org/officeDocument/2006/relationships/hyperlink" Target="https://talan.bank.gov.ua/get-user-certificate/J53250I7MxkyzAUTrPc2" TargetMode="External"/><Relationship Id="rId4187" Type="http://schemas.openxmlformats.org/officeDocument/2006/relationships/hyperlink" Target="https://talan.bank.gov.ua/get-user-certificate/TbxZWHXf390hP1rno5oI" TargetMode="External"/><Relationship Id="rId4047" Type="http://schemas.openxmlformats.org/officeDocument/2006/relationships/hyperlink" Target="https://talan.bank.gov.ua/get-user-certificate/J5325xND4At-8kChUj-_" TargetMode="External"/><Relationship Id="rId4254" Type="http://schemas.openxmlformats.org/officeDocument/2006/relationships/hyperlink" Target="https://talan.bank.gov.ua/get-user-certificate/CYWPH6-zGog83XdXZEex" TargetMode="External"/><Relationship Id="rId1848" Type="http://schemas.openxmlformats.org/officeDocument/2006/relationships/hyperlink" Target="https://talan.bank.gov.ua/get-user-certificate/J5325vVTe1XsSbROJ9Pz" TargetMode="External"/><Relationship Id="rId3063" Type="http://schemas.openxmlformats.org/officeDocument/2006/relationships/hyperlink" Target="https://talan.bank.gov.ua/get-user-certificate/J5325Zrbb9aHMBQVeWu-" TargetMode="External"/><Relationship Id="rId3270" Type="http://schemas.openxmlformats.org/officeDocument/2006/relationships/hyperlink" Target="https://talan.bank.gov.ua/get-user-certificate/J5325wwgSIqslhML7NQw" TargetMode="External"/><Relationship Id="rId4114" Type="http://schemas.openxmlformats.org/officeDocument/2006/relationships/hyperlink" Target="https://talan.bank.gov.ua/get-user-certificate/J5325ge3TBJlC3u1YYZk" TargetMode="External"/><Relationship Id="rId191" Type="http://schemas.openxmlformats.org/officeDocument/2006/relationships/hyperlink" Target="https://talan.bank.gov.ua/get-user-certificate/J5325owSElzM4ovlHFLp" TargetMode="External"/><Relationship Id="rId1708" Type="http://schemas.openxmlformats.org/officeDocument/2006/relationships/hyperlink" Target="https://talan.bank.gov.ua/get-user-certificate/J5325xTZePHe14ACszgG" TargetMode="External"/><Relationship Id="rId1915" Type="http://schemas.openxmlformats.org/officeDocument/2006/relationships/hyperlink" Target="https://talan.bank.gov.ua/get-user-certificate/J5325ULkNcwumCwyXGAf" TargetMode="External"/><Relationship Id="rId3130" Type="http://schemas.openxmlformats.org/officeDocument/2006/relationships/hyperlink" Target="https://talan.bank.gov.ua/get-user-certificate/J5325Huq-RHVI5-TfvEs" TargetMode="External"/><Relationship Id="rId2689" Type="http://schemas.openxmlformats.org/officeDocument/2006/relationships/hyperlink" Target="https://talan.bank.gov.ua/get-user-certificate/J5325AXukibcp9OG2KyI" TargetMode="External"/><Relationship Id="rId2896" Type="http://schemas.openxmlformats.org/officeDocument/2006/relationships/hyperlink" Target="https://talan.bank.gov.ua/get-user-certificate/J5325IHs6FEt0A_ZyySA" TargetMode="External"/><Relationship Id="rId3947" Type="http://schemas.openxmlformats.org/officeDocument/2006/relationships/hyperlink" Target="https://talan.bank.gov.ua/get-user-certificate/J5325SosnGnHV40wgN-l" TargetMode="External"/><Relationship Id="rId868" Type="http://schemas.openxmlformats.org/officeDocument/2006/relationships/hyperlink" Target="https://talan.bank.gov.ua/get-user-certificate/J5325H7rAPxhjEtNm3bI" TargetMode="External"/><Relationship Id="rId1498" Type="http://schemas.openxmlformats.org/officeDocument/2006/relationships/hyperlink" Target="https://talan.bank.gov.ua/get-user-certificate/J5325BFn0hPNokEv12qa" TargetMode="External"/><Relationship Id="rId2549" Type="http://schemas.openxmlformats.org/officeDocument/2006/relationships/hyperlink" Target="https://talan.bank.gov.ua/get-user-certificate/J5325-DAZ_Hmn-2GENvU" TargetMode="External"/><Relationship Id="rId2756" Type="http://schemas.openxmlformats.org/officeDocument/2006/relationships/hyperlink" Target="https://talan.bank.gov.ua/get-user-certificate/J5325wxKQS2S1mOvc6x6" TargetMode="External"/><Relationship Id="rId2963" Type="http://schemas.openxmlformats.org/officeDocument/2006/relationships/hyperlink" Target="https://talan.bank.gov.ua/get-user-certificate/J53252wOaibi_wIZax3t" TargetMode="External"/><Relationship Id="rId3807" Type="http://schemas.openxmlformats.org/officeDocument/2006/relationships/hyperlink" Target="https://talan.bank.gov.ua/get-user-certificate/J5325JN0DJYfIrAgTN61" TargetMode="External"/><Relationship Id="rId728" Type="http://schemas.openxmlformats.org/officeDocument/2006/relationships/hyperlink" Target="https://talan.bank.gov.ua/get-user-certificate/J5325ByKL_ctjayUCMUT" TargetMode="External"/><Relationship Id="rId935" Type="http://schemas.openxmlformats.org/officeDocument/2006/relationships/hyperlink" Target="https://talan.bank.gov.ua/get-user-certificate/J5325XWwP2aWBn4nYch3" TargetMode="External"/><Relationship Id="rId1358" Type="http://schemas.openxmlformats.org/officeDocument/2006/relationships/hyperlink" Target="https://talan.bank.gov.ua/get-user-certificate/J53250uUdmn_PV64wxNz" TargetMode="External"/><Relationship Id="rId1565" Type="http://schemas.openxmlformats.org/officeDocument/2006/relationships/hyperlink" Target="https://talan.bank.gov.ua/get-user-certificate/J5325wd32FbluigWQQj9" TargetMode="External"/><Relationship Id="rId1772" Type="http://schemas.openxmlformats.org/officeDocument/2006/relationships/hyperlink" Target="https://talan.bank.gov.ua/get-user-certificate/J5325Aq9c1g0gFwsRf6c" TargetMode="External"/><Relationship Id="rId2409" Type="http://schemas.openxmlformats.org/officeDocument/2006/relationships/hyperlink" Target="https://talan.bank.gov.ua/get-user-certificate/J5325YET5x-PJ1TaP4jN" TargetMode="External"/><Relationship Id="rId2616" Type="http://schemas.openxmlformats.org/officeDocument/2006/relationships/hyperlink" Target="https://talan.bank.gov.ua/get-user-certificate/J53253W1_FKrbB2q-p_5" TargetMode="External"/><Relationship Id="rId64" Type="http://schemas.openxmlformats.org/officeDocument/2006/relationships/hyperlink" Target="https://talan.bank.gov.ua/get-user-certificate/J5325NgzVbTJNUm0eebk" TargetMode="External"/><Relationship Id="rId1218" Type="http://schemas.openxmlformats.org/officeDocument/2006/relationships/hyperlink" Target="https://talan.bank.gov.ua/get-user-certificate/J532533lndxtrh9gzrP8" TargetMode="External"/><Relationship Id="rId1425" Type="http://schemas.openxmlformats.org/officeDocument/2006/relationships/hyperlink" Target="https://talan.bank.gov.ua/get-user-certificate/J5325J_DkXDaKGEPTu41" TargetMode="External"/><Relationship Id="rId2823" Type="http://schemas.openxmlformats.org/officeDocument/2006/relationships/hyperlink" Target="https://talan.bank.gov.ua/get-user-certificate/J5325O9j4QNER8BWxwkW" TargetMode="External"/><Relationship Id="rId1632" Type="http://schemas.openxmlformats.org/officeDocument/2006/relationships/hyperlink" Target="https://talan.bank.gov.ua/get-user-certificate/J5325MBvS7CnfoTCm8Uy" TargetMode="External"/><Relationship Id="rId2199" Type="http://schemas.openxmlformats.org/officeDocument/2006/relationships/hyperlink" Target="https://talan.bank.gov.ua/get-user-certificate/J5325heKXmGpDT5XyFJV" TargetMode="External"/><Relationship Id="rId3597" Type="http://schemas.openxmlformats.org/officeDocument/2006/relationships/hyperlink" Target="https://talan.bank.gov.ua/get-user-certificate/J5325EpowroqZYnTI_uD" TargetMode="External"/><Relationship Id="rId3457" Type="http://schemas.openxmlformats.org/officeDocument/2006/relationships/hyperlink" Target="https://talan.bank.gov.ua/get-user-certificate/J5325_Sv918riUkNYKPv" TargetMode="External"/><Relationship Id="rId3664" Type="http://schemas.openxmlformats.org/officeDocument/2006/relationships/hyperlink" Target="https://talan.bank.gov.ua/get-user-certificate/J5325yjecl5voQmWyiZa" TargetMode="External"/><Relationship Id="rId3871" Type="http://schemas.openxmlformats.org/officeDocument/2006/relationships/hyperlink" Target="https://talan.bank.gov.ua/get-user-certificate/J5325nLFst_d728J6i0R" TargetMode="External"/><Relationship Id="rId378" Type="http://schemas.openxmlformats.org/officeDocument/2006/relationships/hyperlink" Target="https://talan.bank.gov.ua/get-user-certificate/J5325-V47uh3Cx2dFDlS" TargetMode="External"/><Relationship Id="rId585" Type="http://schemas.openxmlformats.org/officeDocument/2006/relationships/hyperlink" Target="https://talan.bank.gov.ua/get-user-certificate/J5325aehLMZidDSEA3Gh" TargetMode="External"/><Relationship Id="rId792" Type="http://schemas.openxmlformats.org/officeDocument/2006/relationships/hyperlink" Target="https://talan.bank.gov.ua/get-user-certificate/J5325FijWHPMcXrmU4h3" TargetMode="External"/><Relationship Id="rId2059" Type="http://schemas.openxmlformats.org/officeDocument/2006/relationships/hyperlink" Target="https://talan.bank.gov.ua/get-user-certificate/J5325MRhEwmXsa6pPdzE" TargetMode="External"/><Relationship Id="rId2266" Type="http://schemas.openxmlformats.org/officeDocument/2006/relationships/hyperlink" Target="https://talan.bank.gov.ua/get-user-certificate/J5325xGMNmnb6nCb2D9A" TargetMode="External"/><Relationship Id="rId2473" Type="http://schemas.openxmlformats.org/officeDocument/2006/relationships/hyperlink" Target="https://talan.bank.gov.ua/get-user-certificate/J5325qQNyTCqlVojqhwA" TargetMode="External"/><Relationship Id="rId2680" Type="http://schemas.openxmlformats.org/officeDocument/2006/relationships/hyperlink" Target="https://talan.bank.gov.ua/get-user-certificate/J5325_A9JtY1o_6y7JTb" TargetMode="External"/><Relationship Id="rId3317" Type="http://schemas.openxmlformats.org/officeDocument/2006/relationships/hyperlink" Target="https://talan.bank.gov.ua/get-user-certificate/J5325pPUFfNKk8nn2NAF" TargetMode="External"/><Relationship Id="rId3524" Type="http://schemas.openxmlformats.org/officeDocument/2006/relationships/hyperlink" Target="https://talan.bank.gov.ua/get-user-certificate/J5325w1b8BKiXoghXEiM" TargetMode="External"/><Relationship Id="rId3731" Type="http://schemas.openxmlformats.org/officeDocument/2006/relationships/hyperlink" Target="https://talan.bank.gov.ua/get-user-certificate/J5325HfJfVEKpm_bIImU" TargetMode="External"/><Relationship Id="rId238" Type="http://schemas.openxmlformats.org/officeDocument/2006/relationships/hyperlink" Target="https://talan.bank.gov.ua/get-user-certificate/J5325VNS_qBL3Q_kr1JT" TargetMode="External"/><Relationship Id="rId445" Type="http://schemas.openxmlformats.org/officeDocument/2006/relationships/hyperlink" Target="https://talan.bank.gov.ua/get-user-certificate/J5325g193BNFuKtAhPYP" TargetMode="External"/><Relationship Id="rId652" Type="http://schemas.openxmlformats.org/officeDocument/2006/relationships/hyperlink" Target="https://talan.bank.gov.ua/get-user-certificate/J5325MLaXAMI4QkxX2Xw" TargetMode="External"/><Relationship Id="rId1075" Type="http://schemas.openxmlformats.org/officeDocument/2006/relationships/hyperlink" Target="https://talan.bank.gov.ua/get-user-certificate/J5325HMFRPl6k1Zqv10L" TargetMode="External"/><Relationship Id="rId1282" Type="http://schemas.openxmlformats.org/officeDocument/2006/relationships/hyperlink" Target="https://talan.bank.gov.ua/get-user-certificate/J5325xEccu3hcO4IV9Fi" TargetMode="External"/><Relationship Id="rId2126" Type="http://schemas.openxmlformats.org/officeDocument/2006/relationships/hyperlink" Target="https://talan.bank.gov.ua/get-user-certificate/J5325Yc5tPD-3IovipkS" TargetMode="External"/><Relationship Id="rId2333" Type="http://schemas.openxmlformats.org/officeDocument/2006/relationships/hyperlink" Target="https://talan.bank.gov.ua/get-user-certificate/J5325BWloHpvgNShq7_H" TargetMode="External"/><Relationship Id="rId2540" Type="http://schemas.openxmlformats.org/officeDocument/2006/relationships/hyperlink" Target="https://talan.bank.gov.ua/get-user-certificate/J5325MTCGiAi3ubV_jui" TargetMode="External"/><Relationship Id="rId305" Type="http://schemas.openxmlformats.org/officeDocument/2006/relationships/hyperlink" Target="https://talan.bank.gov.ua/get-user-certificate/J5325ia5OSAGbeoQ8haH" TargetMode="External"/><Relationship Id="rId512" Type="http://schemas.openxmlformats.org/officeDocument/2006/relationships/hyperlink" Target="https://talan.bank.gov.ua/get-user-certificate/J5325XLqbcC6mkYAtcs6" TargetMode="External"/><Relationship Id="rId1142" Type="http://schemas.openxmlformats.org/officeDocument/2006/relationships/hyperlink" Target="https://talan.bank.gov.ua/get-user-certificate/J5325Cvc9iN_kW1gAbTr" TargetMode="External"/><Relationship Id="rId2400" Type="http://schemas.openxmlformats.org/officeDocument/2006/relationships/hyperlink" Target="https://talan.bank.gov.ua/get-user-certificate/J53259zijF0nRAgprLSR" TargetMode="External"/><Relationship Id="rId1002" Type="http://schemas.openxmlformats.org/officeDocument/2006/relationships/hyperlink" Target="https://talan.bank.gov.ua/get-user-certificate/J5325Kqm2-Yow27bXcpm" TargetMode="External"/><Relationship Id="rId4158" Type="http://schemas.openxmlformats.org/officeDocument/2006/relationships/hyperlink" Target="https://talan.bank.gov.ua/get-user-certificate/J5325XsfEELa-Z9fNDON" TargetMode="External"/><Relationship Id="rId1959" Type="http://schemas.openxmlformats.org/officeDocument/2006/relationships/hyperlink" Target="https://talan.bank.gov.ua/get-user-certificate/J5325j6mx2vscyOuZDAw" TargetMode="External"/><Relationship Id="rId3174" Type="http://schemas.openxmlformats.org/officeDocument/2006/relationships/hyperlink" Target="https://talan.bank.gov.ua/get-user-certificate/J5325LTYUA_R_XYDMPCw" TargetMode="External"/><Relationship Id="rId4018" Type="http://schemas.openxmlformats.org/officeDocument/2006/relationships/hyperlink" Target="https://talan.bank.gov.ua/get-user-certificate/J5325vTpB4s-iO-NSiMV" TargetMode="External"/><Relationship Id="rId1819" Type="http://schemas.openxmlformats.org/officeDocument/2006/relationships/hyperlink" Target="https://talan.bank.gov.ua/get-user-certificate/J5325xvTynqJ-DS08xDq" TargetMode="External"/><Relationship Id="rId3381" Type="http://schemas.openxmlformats.org/officeDocument/2006/relationships/hyperlink" Target="https://talan.bank.gov.ua/get-user-certificate/J5325QC7CZH5_GgFJlY4" TargetMode="External"/><Relationship Id="rId4225" Type="http://schemas.openxmlformats.org/officeDocument/2006/relationships/hyperlink" Target="https://talan.bank.gov.ua/get-user-certificate/CYWPH0jv3-34fZBLB7eF" TargetMode="External"/><Relationship Id="rId2190" Type="http://schemas.openxmlformats.org/officeDocument/2006/relationships/hyperlink" Target="https://talan.bank.gov.ua/get-user-certificate/J5325i3mysmfAPvEX_Am" TargetMode="External"/><Relationship Id="rId3034" Type="http://schemas.openxmlformats.org/officeDocument/2006/relationships/hyperlink" Target="https://talan.bank.gov.ua/get-user-certificate/J5325d5wN1r8lw7MtDvL" TargetMode="External"/><Relationship Id="rId3241" Type="http://schemas.openxmlformats.org/officeDocument/2006/relationships/hyperlink" Target="https://talan.bank.gov.ua/get-user-certificate/J5325_Nw0pm7MP4CHeTb" TargetMode="External"/><Relationship Id="rId162" Type="http://schemas.openxmlformats.org/officeDocument/2006/relationships/hyperlink" Target="https://talan.bank.gov.ua/get-user-certificate/J5325ZY8gzucCEn2VkL5" TargetMode="External"/><Relationship Id="rId2050" Type="http://schemas.openxmlformats.org/officeDocument/2006/relationships/hyperlink" Target="https://talan.bank.gov.ua/get-user-certificate/J5325DGa6XKPq0cyodON" TargetMode="External"/><Relationship Id="rId3101" Type="http://schemas.openxmlformats.org/officeDocument/2006/relationships/hyperlink" Target="https://talan.bank.gov.ua/get-user-certificate/J53257IO6x23-O57mr0r" TargetMode="External"/><Relationship Id="rId979" Type="http://schemas.openxmlformats.org/officeDocument/2006/relationships/hyperlink" Target="https://talan.bank.gov.ua/get-user-certificate/J5325KQw9Lmb1DTY_fCF" TargetMode="External"/><Relationship Id="rId839" Type="http://schemas.openxmlformats.org/officeDocument/2006/relationships/hyperlink" Target="https://talan.bank.gov.ua/get-user-certificate/J5325cUInJx18kfMWmAR" TargetMode="External"/><Relationship Id="rId1469" Type="http://schemas.openxmlformats.org/officeDocument/2006/relationships/hyperlink" Target="https://talan.bank.gov.ua/get-user-certificate/J5325Fu4TkTnycHaSF3c" TargetMode="External"/><Relationship Id="rId2867" Type="http://schemas.openxmlformats.org/officeDocument/2006/relationships/hyperlink" Target="https://talan.bank.gov.ua/get-user-certificate/J5325-WhHIcfubyk5hFl" TargetMode="External"/><Relationship Id="rId3918" Type="http://schemas.openxmlformats.org/officeDocument/2006/relationships/hyperlink" Target="https://talan.bank.gov.ua/get-user-certificate/J5325JnMf3xS2UUc7Uv0" TargetMode="External"/><Relationship Id="rId4082" Type="http://schemas.openxmlformats.org/officeDocument/2006/relationships/hyperlink" Target="https://talan.bank.gov.ua/get-user-certificate/J5325wvlIfGU8VdAPdwX" TargetMode="External"/><Relationship Id="rId1676" Type="http://schemas.openxmlformats.org/officeDocument/2006/relationships/hyperlink" Target="https://talan.bank.gov.ua/get-user-certificate/J5325sWIyi0tkicKIvsT" TargetMode="External"/><Relationship Id="rId1883" Type="http://schemas.openxmlformats.org/officeDocument/2006/relationships/hyperlink" Target="https://talan.bank.gov.ua/get-user-certificate/J5325ZBN4WC0eg1tcFz4" TargetMode="External"/><Relationship Id="rId2727" Type="http://schemas.openxmlformats.org/officeDocument/2006/relationships/hyperlink" Target="https://talan.bank.gov.ua/get-user-certificate/J5325KRplFGBRgamD63G" TargetMode="External"/><Relationship Id="rId2934" Type="http://schemas.openxmlformats.org/officeDocument/2006/relationships/hyperlink" Target="https://talan.bank.gov.ua/get-user-certificate/J53259KfoarEJq4RPQgA" TargetMode="External"/><Relationship Id="rId906" Type="http://schemas.openxmlformats.org/officeDocument/2006/relationships/hyperlink" Target="https://talan.bank.gov.ua/get-user-certificate/J5325CIDsG5XvyZKkoio" TargetMode="External"/><Relationship Id="rId1329" Type="http://schemas.openxmlformats.org/officeDocument/2006/relationships/hyperlink" Target="https://talan.bank.gov.ua/get-user-certificate/J5325I-y4fqvIDj7SXsz" TargetMode="External"/><Relationship Id="rId1536" Type="http://schemas.openxmlformats.org/officeDocument/2006/relationships/hyperlink" Target="https://talan.bank.gov.ua/get-user-certificate/J5325a2mySgNy-jAs--w" TargetMode="External"/><Relationship Id="rId1743" Type="http://schemas.openxmlformats.org/officeDocument/2006/relationships/hyperlink" Target="https://talan.bank.gov.ua/get-user-certificate/J5325neUbjMRkwMZ_FMs" TargetMode="External"/><Relationship Id="rId1950" Type="http://schemas.openxmlformats.org/officeDocument/2006/relationships/hyperlink" Target="https://talan.bank.gov.ua/get-user-certificate/J5325rPch9DDqY-HKUjU" TargetMode="External"/><Relationship Id="rId35" Type="http://schemas.openxmlformats.org/officeDocument/2006/relationships/hyperlink" Target="https://talan.bank.gov.ua/get-user-certificate/J5325tZSgYW9bJVXdzbL" TargetMode="External"/><Relationship Id="rId1603" Type="http://schemas.openxmlformats.org/officeDocument/2006/relationships/hyperlink" Target="https://talan.bank.gov.ua/get-user-certificate/J5325vOla-_Xa6S6YNTO" TargetMode="External"/><Relationship Id="rId1810" Type="http://schemas.openxmlformats.org/officeDocument/2006/relationships/hyperlink" Target="https://talan.bank.gov.ua/get-user-certificate/J53256FPdp0lA7tZB_sl" TargetMode="External"/><Relationship Id="rId3568" Type="http://schemas.openxmlformats.org/officeDocument/2006/relationships/hyperlink" Target="https://talan.bank.gov.ua/get-user-certificate/J5325w7uyjaPhidbqCl6" TargetMode="External"/><Relationship Id="rId3775" Type="http://schemas.openxmlformats.org/officeDocument/2006/relationships/hyperlink" Target="https://talan.bank.gov.ua/get-user-certificate/J5325t1Ndf97R3fHvH3U" TargetMode="External"/><Relationship Id="rId3982" Type="http://schemas.openxmlformats.org/officeDocument/2006/relationships/hyperlink" Target="https://talan.bank.gov.ua/get-user-certificate/J5325s7_op_FosWA6Lfd" TargetMode="External"/><Relationship Id="rId489" Type="http://schemas.openxmlformats.org/officeDocument/2006/relationships/hyperlink" Target="https://talan.bank.gov.ua/get-user-certificate/J5325EKTo6lEcUEhjUMa" TargetMode="External"/><Relationship Id="rId696" Type="http://schemas.openxmlformats.org/officeDocument/2006/relationships/hyperlink" Target="https://talan.bank.gov.ua/get-user-certificate/J5325EREnxLlRpJBAC9P" TargetMode="External"/><Relationship Id="rId2377" Type="http://schemas.openxmlformats.org/officeDocument/2006/relationships/hyperlink" Target="https://talan.bank.gov.ua/get-user-certificate/J5325g4VNSqdN2CVtLB3" TargetMode="External"/><Relationship Id="rId2584" Type="http://schemas.openxmlformats.org/officeDocument/2006/relationships/hyperlink" Target="https://talan.bank.gov.ua/get-user-certificate/J5325z5IYvhPrjnCNEBe" TargetMode="External"/><Relationship Id="rId2791" Type="http://schemas.openxmlformats.org/officeDocument/2006/relationships/hyperlink" Target="https://talan.bank.gov.ua/get-user-certificate/J5325exKxv6Zf9d0Sqoh" TargetMode="External"/><Relationship Id="rId3428" Type="http://schemas.openxmlformats.org/officeDocument/2006/relationships/hyperlink" Target="https://talan.bank.gov.ua/get-user-certificate/J5325w3udOp59-WNqSf4" TargetMode="External"/><Relationship Id="rId3635" Type="http://schemas.openxmlformats.org/officeDocument/2006/relationships/hyperlink" Target="https://talan.bank.gov.ua/get-user-certificate/J5325RwWpmz7uwIY4Lgg" TargetMode="External"/><Relationship Id="rId349" Type="http://schemas.openxmlformats.org/officeDocument/2006/relationships/hyperlink" Target="https://talan.bank.gov.ua/get-user-certificate/J5325BxL6ptDhlJgstui" TargetMode="External"/><Relationship Id="rId556" Type="http://schemas.openxmlformats.org/officeDocument/2006/relationships/hyperlink" Target="https://talan.bank.gov.ua/get-user-certificate/J5325nuIDKOSaV1_rIY3" TargetMode="External"/><Relationship Id="rId763" Type="http://schemas.openxmlformats.org/officeDocument/2006/relationships/hyperlink" Target="https://talan.bank.gov.ua/get-user-certificate/J5325taA59otwLxhifuo" TargetMode="External"/><Relationship Id="rId1186" Type="http://schemas.openxmlformats.org/officeDocument/2006/relationships/hyperlink" Target="https://talan.bank.gov.ua/get-user-certificate/J5325p5wXOjZfuenyZE4" TargetMode="External"/><Relationship Id="rId1393" Type="http://schemas.openxmlformats.org/officeDocument/2006/relationships/hyperlink" Target="https://talan.bank.gov.ua/get-user-certificate/J5325Mib6hKtduea4Wan" TargetMode="External"/><Relationship Id="rId2237" Type="http://schemas.openxmlformats.org/officeDocument/2006/relationships/hyperlink" Target="https://talan.bank.gov.ua/get-user-certificate/J5325ucefadmPTsFbPCh" TargetMode="External"/><Relationship Id="rId2444" Type="http://schemas.openxmlformats.org/officeDocument/2006/relationships/hyperlink" Target="https://talan.bank.gov.ua/get-user-certificate/J53257pVWIXN3KQEJyNp" TargetMode="External"/><Relationship Id="rId3842" Type="http://schemas.openxmlformats.org/officeDocument/2006/relationships/hyperlink" Target="https://talan.bank.gov.ua/get-user-certificate/J5325gemiTEJZZNDJ25N" TargetMode="External"/><Relationship Id="rId209" Type="http://schemas.openxmlformats.org/officeDocument/2006/relationships/hyperlink" Target="https://talan.bank.gov.ua/get-user-certificate/J53259Q4tbAOEj4E3gNT" TargetMode="External"/><Relationship Id="rId416" Type="http://schemas.openxmlformats.org/officeDocument/2006/relationships/hyperlink" Target="https://talan.bank.gov.ua/get-user-certificate/J5325UO6-FAcJyI96etk" TargetMode="External"/><Relationship Id="rId970" Type="http://schemas.openxmlformats.org/officeDocument/2006/relationships/hyperlink" Target="https://talan.bank.gov.ua/get-user-certificate/J5325CsgOU5eXwnLcnFJ" TargetMode="External"/><Relationship Id="rId1046" Type="http://schemas.openxmlformats.org/officeDocument/2006/relationships/hyperlink" Target="https://talan.bank.gov.ua/get-user-certificate/J5325nFK6H_CC2ICv8JL" TargetMode="External"/><Relationship Id="rId1253" Type="http://schemas.openxmlformats.org/officeDocument/2006/relationships/hyperlink" Target="https://talan.bank.gov.ua/get-user-certificate/J5325724Lpi5WN3B8pTv" TargetMode="External"/><Relationship Id="rId2651" Type="http://schemas.openxmlformats.org/officeDocument/2006/relationships/hyperlink" Target="https://talan.bank.gov.ua/get-user-certificate/J5325EB7yPmrg3cvZMYU" TargetMode="External"/><Relationship Id="rId3702" Type="http://schemas.openxmlformats.org/officeDocument/2006/relationships/hyperlink" Target="https://talan.bank.gov.ua/get-user-certificate/J5325UpfwLPnYJ97nbS6" TargetMode="External"/><Relationship Id="rId623" Type="http://schemas.openxmlformats.org/officeDocument/2006/relationships/hyperlink" Target="https://talan.bank.gov.ua/get-user-certificate/J5325-aZF3rHsfUy3oX9" TargetMode="External"/><Relationship Id="rId830" Type="http://schemas.openxmlformats.org/officeDocument/2006/relationships/hyperlink" Target="https://talan.bank.gov.ua/get-user-certificate/J5325UzrkOVnjfh-1mQb" TargetMode="External"/><Relationship Id="rId1460" Type="http://schemas.openxmlformats.org/officeDocument/2006/relationships/hyperlink" Target="https://talan.bank.gov.ua/get-user-certificate/J5325A6rcM6vrDnkgWjE" TargetMode="External"/><Relationship Id="rId2304" Type="http://schemas.openxmlformats.org/officeDocument/2006/relationships/hyperlink" Target="https://talan.bank.gov.ua/get-user-certificate/J5325R3MeO25QxppQ6KR" TargetMode="External"/><Relationship Id="rId2511" Type="http://schemas.openxmlformats.org/officeDocument/2006/relationships/hyperlink" Target="https://talan.bank.gov.ua/get-user-certificate/J5325PL_iF6rp_qMCj53" TargetMode="External"/><Relationship Id="rId1113" Type="http://schemas.openxmlformats.org/officeDocument/2006/relationships/hyperlink" Target="https://talan.bank.gov.ua/get-user-certificate/J5325bOxwOKZPjJgwlyq" TargetMode="External"/><Relationship Id="rId1320" Type="http://schemas.openxmlformats.org/officeDocument/2006/relationships/hyperlink" Target="https://talan.bank.gov.ua/get-user-certificate/J53252GBiomm0rHqEP0z" TargetMode="External"/><Relationship Id="rId3078" Type="http://schemas.openxmlformats.org/officeDocument/2006/relationships/hyperlink" Target="https://talan.bank.gov.ua/get-user-certificate/J5325da0ryuzBHImwGAz" TargetMode="External"/><Relationship Id="rId3285" Type="http://schemas.openxmlformats.org/officeDocument/2006/relationships/hyperlink" Target="https://talan.bank.gov.ua/get-user-certificate/J5325w63BZvqbsz2tEMy" TargetMode="External"/><Relationship Id="rId3492" Type="http://schemas.openxmlformats.org/officeDocument/2006/relationships/hyperlink" Target="https://talan.bank.gov.ua/get-user-certificate/J532527lRt2yK4Oz3-cX" TargetMode="External"/><Relationship Id="rId4129" Type="http://schemas.openxmlformats.org/officeDocument/2006/relationships/hyperlink" Target="https://talan.bank.gov.ua/get-user-certificate/J5325OpK94zkB_kTW7ak" TargetMode="External"/><Relationship Id="rId2094" Type="http://schemas.openxmlformats.org/officeDocument/2006/relationships/hyperlink" Target="https://talan.bank.gov.ua/get-user-certificate/J5325Y0sKQQRt4k6lXDk" TargetMode="External"/><Relationship Id="rId3145" Type="http://schemas.openxmlformats.org/officeDocument/2006/relationships/hyperlink" Target="https://talan.bank.gov.ua/get-user-certificate/J5325TCbrQp3-mUAxpYk" TargetMode="External"/><Relationship Id="rId3352" Type="http://schemas.openxmlformats.org/officeDocument/2006/relationships/hyperlink" Target="https://talan.bank.gov.ua/get-user-certificate/J53258k0pWmlqq08vD2E" TargetMode="External"/><Relationship Id="rId273" Type="http://schemas.openxmlformats.org/officeDocument/2006/relationships/hyperlink" Target="https://talan.bank.gov.ua/get-user-certificate/J5325UbAHu-7besnBn6R" TargetMode="External"/><Relationship Id="rId480" Type="http://schemas.openxmlformats.org/officeDocument/2006/relationships/hyperlink" Target="https://talan.bank.gov.ua/get-user-certificate/J5325wFwD1u4elDT29i6" TargetMode="External"/><Relationship Id="rId2161" Type="http://schemas.openxmlformats.org/officeDocument/2006/relationships/hyperlink" Target="https://talan.bank.gov.ua/get-user-certificate/J5325Wu68ymfq9AzmowK" TargetMode="External"/><Relationship Id="rId3005" Type="http://schemas.openxmlformats.org/officeDocument/2006/relationships/hyperlink" Target="https://talan.bank.gov.ua/get-user-certificate/J53251fD0yiv5FYXZ7KF" TargetMode="External"/><Relationship Id="rId3212" Type="http://schemas.openxmlformats.org/officeDocument/2006/relationships/hyperlink" Target="https://talan.bank.gov.ua/get-user-certificate/J53257n1fj5_86AfDh5x" TargetMode="External"/><Relationship Id="rId133" Type="http://schemas.openxmlformats.org/officeDocument/2006/relationships/hyperlink" Target="https://talan.bank.gov.ua/get-user-certificate/J53257ra6bhy3ZRNubbN" TargetMode="External"/><Relationship Id="rId340" Type="http://schemas.openxmlformats.org/officeDocument/2006/relationships/hyperlink" Target="https://talan.bank.gov.ua/get-user-certificate/J5325GTk342mPsOXldDh" TargetMode="External"/><Relationship Id="rId2021" Type="http://schemas.openxmlformats.org/officeDocument/2006/relationships/hyperlink" Target="https://talan.bank.gov.ua/get-user-certificate/J5325oRW7H_l34dewAMv" TargetMode="External"/><Relationship Id="rId200" Type="http://schemas.openxmlformats.org/officeDocument/2006/relationships/hyperlink" Target="https://talan.bank.gov.ua/get-user-certificate/J5325-qC1Strr7OLPAiB" TargetMode="External"/><Relationship Id="rId2978" Type="http://schemas.openxmlformats.org/officeDocument/2006/relationships/hyperlink" Target="https://talan.bank.gov.ua/get-user-certificate/J5325-w1MTuHGCYEq0P8" TargetMode="External"/><Relationship Id="rId4193" Type="http://schemas.openxmlformats.org/officeDocument/2006/relationships/hyperlink" Target="https://talan.bank.gov.ua/get-user-certificate/TbxZWjubK_9lxgU6XrEt" TargetMode="External"/><Relationship Id="rId1787" Type="http://schemas.openxmlformats.org/officeDocument/2006/relationships/hyperlink" Target="https://talan.bank.gov.ua/get-user-certificate/J5325hHfAALmY3maDUut" TargetMode="External"/><Relationship Id="rId1994" Type="http://schemas.openxmlformats.org/officeDocument/2006/relationships/hyperlink" Target="https://talan.bank.gov.ua/get-user-certificate/J5325TOusnoJzMXPwo5u" TargetMode="External"/><Relationship Id="rId2838" Type="http://schemas.openxmlformats.org/officeDocument/2006/relationships/hyperlink" Target="https://talan.bank.gov.ua/get-user-certificate/J53258672aTnaaBOzCgQ" TargetMode="External"/><Relationship Id="rId79" Type="http://schemas.openxmlformats.org/officeDocument/2006/relationships/hyperlink" Target="https://talan.bank.gov.ua/get-user-certificate/J53258BIbjpM2NyQRiio" TargetMode="External"/><Relationship Id="rId1647" Type="http://schemas.openxmlformats.org/officeDocument/2006/relationships/hyperlink" Target="https://talan.bank.gov.ua/get-user-certificate/J5325ed5wi4fFE_rB-_s" TargetMode="External"/><Relationship Id="rId1854" Type="http://schemas.openxmlformats.org/officeDocument/2006/relationships/hyperlink" Target="https://talan.bank.gov.ua/get-user-certificate/J53250M7j30ZctxbusaV" TargetMode="External"/><Relationship Id="rId2905" Type="http://schemas.openxmlformats.org/officeDocument/2006/relationships/hyperlink" Target="https://talan.bank.gov.ua/get-user-certificate/J5325EYOKA65RIcYtYke" TargetMode="External"/><Relationship Id="rId4053" Type="http://schemas.openxmlformats.org/officeDocument/2006/relationships/hyperlink" Target="https://talan.bank.gov.ua/get-user-certificate/J5325YBp8LC8WeLNZf5_" TargetMode="External"/><Relationship Id="rId4260" Type="http://schemas.openxmlformats.org/officeDocument/2006/relationships/hyperlink" Target="https://talan.bank.gov.ua/get-user-certificate/CYWPHWQVUmdg2d8VKXyn" TargetMode="External"/><Relationship Id="rId1507" Type="http://schemas.openxmlformats.org/officeDocument/2006/relationships/hyperlink" Target="https://talan.bank.gov.ua/get-user-certificate/J5325TZ8_UBR3PipktpB" TargetMode="External"/><Relationship Id="rId1714" Type="http://schemas.openxmlformats.org/officeDocument/2006/relationships/hyperlink" Target="https://talan.bank.gov.ua/get-user-certificate/J5325gjNDTE72T2A_0ip" TargetMode="External"/><Relationship Id="rId4120" Type="http://schemas.openxmlformats.org/officeDocument/2006/relationships/hyperlink" Target="https://talan.bank.gov.ua/get-user-certificate/J5325VtdMV-SHm9Yvyii" TargetMode="External"/><Relationship Id="rId1921" Type="http://schemas.openxmlformats.org/officeDocument/2006/relationships/hyperlink" Target="https://talan.bank.gov.ua/get-user-certificate/J5325DU8Hst9qwLeQv60" TargetMode="External"/><Relationship Id="rId3679" Type="http://schemas.openxmlformats.org/officeDocument/2006/relationships/hyperlink" Target="https://talan.bank.gov.ua/get-user-certificate/J532547K0Kk80_zHLhmh" TargetMode="External"/><Relationship Id="rId2488" Type="http://schemas.openxmlformats.org/officeDocument/2006/relationships/hyperlink" Target="https://talan.bank.gov.ua/get-user-certificate/J5325Kf1hKkelfucUnci" TargetMode="External"/><Relationship Id="rId3886" Type="http://schemas.openxmlformats.org/officeDocument/2006/relationships/hyperlink" Target="https://talan.bank.gov.ua/get-user-certificate/J5325RvLdj0kbrb9JGMH" TargetMode="External"/><Relationship Id="rId1297" Type="http://schemas.openxmlformats.org/officeDocument/2006/relationships/hyperlink" Target="https://talan.bank.gov.ua/get-user-certificate/J5325d3TyXdXEZEI797o" TargetMode="External"/><Relationship Id="rId2695" Type="http://schemas.openxmlformats.org/officeDocument/2006/relationships/hyperlink" Target="https://talan.bank.gov.ua/get-user-certificate/J5325TKjeFO8FzCZ02oy" TargetMode="External"/><Relationship Id="rId3539" Type="http://schemas.openxmlformats.org/officeDocument/2006/relationships/hyperlink" Target="https://talan.bank.gov.ua/get-user-certificate/J5325sP4Pw0KewfhzGa4" TargetMode="External"/><Relationship Id="rId3746" Type="http://schemas.openxmlformats.org/officeDocument/2006/relationships/hyperlink" Target="https://talan.bank.gov.ua/get-user-certificate/J5325tJ6UOqb4kgqduWt" TargetMode="External"/><Relationship Id="rId3953" Type="http://schemas.openxmlformats.org/officeDocument/2006/relationships/hyperlink" Target="https://talan.bank.gov.ua/get-user-certificate/J5325nHqiObbldpPYeJZ" TargetMode="External"/><Relationship Id="rId667" Type="http://schemas.openxmlformats.org/officeDocument/2006/relationships/hyperlink" Target="https://talan.bank.gov.ua/get-user-certificate/J5325BLsu870n5Z_EYYz" TargetMode="External"/><Relationship Id="rId874" Type="http://schemas.openxmlformats.org/officeDocument/2006/relationships/hyperlink" Target="https://talan.bank.gov.ua/get-user-certificate/J5325FXPhBgcE78zzr22" TargetMode="External"/><Relationship Id="rId2348" Type="http://schemas.openxmlformats.org/officeDocument/2006/relationships/hyperlink" Target="https://talan.bank.gov.ua/get-user-certificate/J5325wqkuG-N1LB1pEKR" TargetMode="External"/><Relationship Id="rId2555" Type="http://schemas.openxmlformats.org/officeDocument/2006/relationships/hyperlink" Target="https://talan.bank.gov.ua/get-user-certificate/J53257LjPgXio-cBW5Km" TargetMode="External"/><Relationship Id="rId2762" Type="http://schemas.openxmlformats.org/officeDocument/2006/relationships/hyperlink" Target="https://talan.bank.gov.ua/get-user-certificate/J5325PV87nyydRpU1msw" TargetMode="External"/><Relationship Id="rId3606" Type="http://schemas.openxmlformats.org/officeDocument/2006/relationships/hyperlink" Target="https://talan.bank.gov.ua/get-user-certificate/J532501ccZX9y09wv_AZ" TargetMode="External"/><Relationship Id="rId3813" Type="http://schemas.openxmlformats.org/officeDocument/2006/relationships/hyperlink" Target="https://talan.bank.gov.ua/get-user-certificate/J53258hzvEw35l9cGKql" TargetMode="External"/><Relationship Id="rId527" Type="http://schemas.openxmlformats.org/officeDocument/2006/relationships/hyperlink" Target="https://talan.bank.gov.ua/get-user-certificate/J5325uIfcfyLHeKY0LC6" TargetMode="External"/><Relationship Id="rId734" Type="http://schemas.openxmlformats.org/officeDocument/2006/relationships/hyperlink" Target="https://talan.bank.gov.ua/get-user-certificate/J5325x6HvbkbHdruMEVP" TargetMode="External"/><Relationship Id="rId941" Type="http://schemas.openxmlformats.org/officeDocument/2006/relationships/hyperlink" Target="https://talan.bank.gov.ua/get-user-certificate/J5325f4btmbIrbOrX_V2" TargetMode="External"/><Relationship Id="rId1157" Type="http://schemas.openxmlformats.org/officeDocument/2006/relationships/hyperlink" Target="https://talan.bank.gov.ua/get-user-certificate/J532585Lj6_9bbKdj1-j" TargetMode="External"/><Relationship Id="rId1364" Type="http://schemas.openxmlformats.org/officeDocument/2006/relationships/hyperlink" Target="https://talan.bank.gov.ua/get-user-certificate/J5325Iv5_FXtQEh-wBzC" TargetMode="External"/><Relationship Id="rId1571" Type="http://schemas.openxmlformats.org/officeDocument/2006/relationships/hyperlink" Target="https://talan.bank.gov.ua/get-user-certificate/J5325AGFl7CCe4VK7D8t" TargetMode="External"/><Relationship Id="rId2208" Type="http://schemas.openxmlformats.org/officeDocument/2006/relationships/hyperlink" Target="https://talan.bank.gov.ua/get-user-certificate/J5325cPGWd8um8YUnENh" TargetMode="External"/><Relationship Id="rId2415" Type="http://schemas.openxmlformats.org/officeDocument/2006/relationships/hyperlink" Target="https://talan.bank.gov.ua/get-user-certificate/J5325Hwmd-6WZvvWm17v" TargetMode="External"/><Relationship Id="rId2622" Type="http://schemas.openxmlformats.org/officeDocument/2006/relationships/hyperlink" Target="https://talan.bank.gov.ua/get-user-certificate/J5325ppY-5239FxsJZnz" TargetMode="External"/><Relationship Id="rId70" Type="http://schemas.openxmlformats.org/officeDocument/2006/relationships/hyperlink" Target="https://talan.bank.gov.ua/get-user-certificate/J53253__84lfh8FNxH6r" TargetMode="External"/><Relationship Id="rId801" Type="http://schemas.openxmlformats.org/officeDocument/2006/relationships/hyperlink" Target="https://talan.bank.gov.ua/get-user-certificate/J5325jmgdbwJUUazLwiF" TargetMode="External"/><Relationship Id="rId1017" Type="http://schemas.openxmlformats.org/officeDocument/2006/relationships/hyperlink" Target="https://talan.bank.gov.ua/get-user-certificate/J5325e6gXr3SCKL7nDK5" TargetMode="External"/><Relationship Id="rId1224" Type="http://schemas.openxmlformats.org/officeDocument/2006/relationships/hyperlink" Target="https://talan.bank.gov.ua/get-user-certificate/J5325TtytVke-A1PTVnk" TargetMode="External"/><Relationship Id="rId1431" Type="http://schemas.openxmlformats.org/officeDocument/2006/relationships/hyperlink" Target="https://talan.bank.gov.ua/get-user-certificate/J53253k_hBp5hpOBVdal" TargetMode="External"/><Relationship Id="rId3189" Type="http://schemas.openxmlformats.org/officeDocument/2006/relationships/hyperlink" Target="https://talan.bank.gov.ua/get-user-certificate/J5325m-w8NPW7eOuAFaf" TargetMode="External"/><Relationship Id="rId3396" Type="http://schemas.openxmlformats.org/officeDocument/2006/relationships/hyperlink" Target="https://talan.bank.gov.ua/get-user-certificate/J5325BNyiaKojIKd4UKd" TargetMode="External"/><Relationship Id="rId3049" Type="http://schemas.openxmlformats.org/officeDocument/2006/relationships/hyperlink" Target="https://talan.bank.gov.ua/get-user-certificate/J5325neIvj91ZSnucmMv" TargetMode="External"/><Relationship Id="rId3256" Type="http://schemas.openxmlformats.org/officeDocument/2006/relationships/hyperlink" Target="https://talan.bank.gov.ua/get-user-certificate/J53251dB73BDVoJX-8Tc" TargetMode="External"/><Relationship Id="rId3463" Type="http://schemas.openxmlformats.org/officeDocument/2006/relationships/hyperlink" Target="https://talan.bank.gov.ua/get-user-certificate/J5325CBbE6oj9c9cjiuz" TargetMode="External"/><Relationship Id="rId177" Type="http://schemas.openxmlformats.org/officeDocument/2006/relationships/hyperlink" Target="https://talan.bank.gov.ua/get-user-certificate/J5325Bg5oHpbTsSBlgGs" TargetMode="External"/><Relationship Id="rId384" Type="http://schemas.openxmlformats.org/officeDocument/2006/relationships/hyperlink" Target="https://talan.bank.gov.ua/get-user-certificate/J5325sDAO2Bv78yT-Cxq" TargetMode="External"/><Relationship Id="rId591" Type="http://schemas.openxmlformats.org/officeDocument/2006/relationships/hyperlink" Target="https://talan.bank.gov.ua/get-user-certificate/J5325HRktp-jEgTjcedr" TargetMode="External"/><Relationship Id="rId2065" Type="http://schemas.openxmlformats.org/officeDocument/2006/relationships/hyperlink" Target="https://talan.bank.gov.ua/get-user-certificate/J5325-I1LNrka0CrSnrG" TargetMode="External"/><Relationship Id="rId2272" Type="http://schemas.openxmlformats.org/officeDocument/2006/relationships/hyperlink" Target="https://talan.bank.gov.ua/get-user-certificate/J5325uK4IQVcsYzYChiw" TargetMode="External"/><Relationship Id="rId3116" Type="http://schemas.openxmlformats.org/officeDocument/2006/relationships/hyperlink" Target="https://talan.bank.gov.ua/get-user-certificate/J532562Ar7xtaTSnUee4" TargetMode="External"/><Relationship Id="rId3670" Type="http://schemas.openxmlformats.org/officeDocument/2006/relationships/hyperlink" Target="https://talan.bank.gov.ua/get-user-certificate/J5325nDuvg-28tHYmnHP" TargetMode="External"/><Relationship Id="rId244" Type="http://schemas.openxmlformats.org/officeDocument/2006/relationships/hyperlink" Target="https://talan.bank.gov.ua/get-user-certificate/J5325GXnPpt2k5GhdtkH" TargetMode="External"/><Relationship Id="rId1081" Type="http://schemas.openxmlformats.org/officeDocument/2006/relationships/hyperlink" Target="https://talan.bank.gov.ua/get-user-certificate/J5325n7MUVUTZBWrtNzd" TargetMode="External"/><Relationship Id="rId3323" Type="http://schemas.openxmlformats.org/officeDocument/2006/relationships/hyperlink" Target="https://talan.bank.gov.ua/get-user-certificate/J5325ghcL5JxMJP6jemg" TargetMode="External"/><Relationship Id="rId3530" Type="http://schemas.openxmlformats.org/officeDocument/2006/relationships/hyperlink" Target="https://talan.bank.gov.ua/get-user-certificate/J5325IBFUX_3aX1eLP-V" TargetMode="External"/><Relationship Id="rId451" Type="http://schemas.openxmlformats.org/officeDocument/2006/relationships/hyperlink" Target="https://talan.bank.gov.ua/get-user-certificate/J53254hJdAprc9ZVRmv9" TargetMode="External"/><Relationship Id="rId2132" Type="http://schemas.openxmlformats.org/officeDocument/2006/relationships/hyperlink" Target="https://talan.bank.gov.ua/get-user-certificate/J5325BqBh62Q3lgKMh1b" TargetMode="External"/><Relationship Id="rId104" Type="http://schemas.openxmlformats.org/officeDocument/2006/relationships/hyperlink" Target="https://talan.bank.gov.ua/get-user-certificate/J5325Zsx_tDjqNRJpf47" TargetMode="External"/><Relationship Id="rId311" Type="http://schemas.openxmlformats.org/officeDocument/2006/relationships/hyperlink" Target="https://talan.bank.gov.ua/get-user-certificate/J5325wxG1xgm3Xe1pzqK" TargetMode="External"/><Relationship Id="rId1898" Type="http://schemas.openxmlformats.org/officeDocument/2006/relationships/hyperlink" Target="https://talan.bank.gov.ua/get-user-certificate/J5325OshXFg7yywPtWDS" TargetMode="External"/><Relationship Id="rId2949" Type="http://schemas.openxmlformats.org/officeDocument/2006/relationships/hyperlink" Target="https://talan.bank.gov.ua/get-user-certificate/J5325EyKwd3zaXl5NZOa" TargetMode="External"/><Relationship Id="rId4097" Type="http://schemas.openxmlformats.org/officeDocument/2006/relationships/hyperlink" Target="https://talan.bank.gov.ua/get-user-certificate/J5325fr43rtPhFqOD7mp" TargetMode="External"/><Relationship Id="rId1758" Type="http://schemas.openxmlformats.org/officeDocument/2006/relationships/hyperlink" Target="https://talan.bank.gov.ua/get-user-certificate/J5325-Y-6uyZLErAUR7R" TargetMode="External"/><Relationship Id="rId2809" Type="http://schemas.openxmlformats.org/officeDocument/2006/relationships/hyperlink" Target="https://talan.bank.gov.ua/get-user-certificate/J5325FkH44bWxY070hDT" TargetMode="External"/><Relationship Id="rId4164" Type="http://schemas.openxmlformats.org/officeDocument/2006/relationships/hyperlink" Target="https://talan.bank.gov.ua/get-user-certificate/J5325v62xZQ8qB0XgLHI" TargetMode="External"/><Relationship Id="rId1965" Type="http://schemas.openxmlformats.org/officeDocument/2006/relationships/hyperlink" Target="https://talan.bank.gov.ua/get-user-certificate/J5325ksVvoyVyQaPHmA8" TargetMode="External"/><Relationship Id="rId3180" Type="http://schemas.openxmlformats.org/officeDocument/2006/relationships/hyperlink" Target="https://talan.bank.gov.ua/get-user-certificate/J5325ODXASeH7_IDyTMm" TargetMode="External"/><Relationship Id="rId4024" Type="http://schemas.openxmlformats.org/officeDocument/2006/relationships/hyperlink" Target="https://talan.bank.gov.ua/get-user-certificate/J5325olwA1VXujlqLI6d" TargetMode="External"/><Relationship Id="rId4231" Type="http://schemas.openxmlformats.org/officeDocument/2006/relationships/hyperlink" Target="https://talan.bank.gov.ua/get-user-certificate/CYWPHPookmECYdzDULls" TargetMode="External"/><Relationship Id="rId1618" Type="http://schemas.openxmlformats.org/officeDocument/2006/relationships/hyperlink" Target="https://talan.bank.gov.ua/get-user-certificate/J5325DWqd3o6pxWY73iC" TargetMode="External"/><Relationship Id="rId1825" Type="http://schemas.openxmlformats.org/officeDocument/2006/relationships/hyperlink" Target="https://talan.bank.gov.ua/get-user-certificate/J5325T3YYa4Fqmr0X5aj" TargetMode="External"/><Relationship Id="rId3040" Type="http://schemas.openxmlformats.org/officeDocument/2006/relationships/hyperlink" Target="https://talan.bank.gov.ua/get-user-certificate/J5325qAlCuYNPoAEeSSo" TargetMode="External"/><Relationship Id="rId3997" Type="http://schemas.openxmlformats.org/officeDocument/2006/relationships/hyperlink" Target="https://talan.bank.gov.ua/get-user-certificate/J5325IoGD0_WDFazZunk" TargetMode="External"/><Relationship Id="rId2599" Type="http://schemas.openxmlformats.org/officeDocument/2006/relationships/hyperlink" Target="https://talan.bank.gov.ua/get-user-certificate/J532514qCM9Tun0gljPz" TargetMode="External"/><Relationship Id="rId3857" Type="http://schemas.openxmlformats.org/officeDocument/2006/relationships/hyperlink" Target="https://talan.bank.gov.ua/get-user-certificate/J5325jOo8_-bEo8RPJGD" TargetMode="External"/><Relationship Id="rId778" Type="http://schemas.openxmlformats.org/officeDocument/2006/relationships/hyperlink" Target="https://talan.bank.gov.ua/get-user-certificate/J5325rJEA6DR4RQ_SBgF" TargetMode="External"/><Relationship Id="rId985" Type="http://schemas.openxmlformats.org/officeDocument/2006/relationships/hyperlink" Target="https://talan.bank.gov.ua/get-user-certificate/J5325_vSSclzd35LMFSp" TargetMode="External"/><Relationship Id="rId2459" Type="http://schemas.openxmlformats.org/officeDocument/2006/relationships/hyperlink" Target="https://talan.bank.gov.ua/get-user-certificate/J5325iF5B-oSA_pZqwvQ" TargetMode="External"/><Relationship Id="rId2666" Type="http://schemas.openxmlformats.org/officeDocument/2006/relationships/hyperlink" Target="https://talan.bank.gov.ua/get-user-certificate/J5325Fdz5Anb-kSf-NH9" TargetMode="External"/><Relationship Id="rId2873" Type="http://schemas.openxmlformats.org/officeDocument/2006/relationships/hyperlink" Target="https://talan.bank.gov.ua/get-user-certificate/J53251A67QIaJhrl7BBF" TargetMode="External"/><Relationship Id="rId3717" Type="http://schemas.openxmlformats.org/officeDocument/2006/relationships/hyperlink" Target="https://talan.bank.gov.ua/get-user-certificate/J5325wCSBiu1QIhUqgDG" TargetMode="External"/><Relationship Id="rId3924" Type="http://schemas.openxmlformats.org/officeDocument/2006/relationships/hyperlink" Target="https://talan.bank.gov.ua/get-user-certificate/J5325d1tQNpxdYygNDyX" TargetMode="External"/><Relationship Id="rId638" Type="http://schemas.openxmlformats.org/officeDocument/2006/relationships/hyperlink" Target="https://talan.bank.gov.ua/get-user-certificate/J5325n6ntZxd45c8xbtM" TargetMode="External"/><Relationship Id="rId845" Type="http://schemas.openxmlformats.org/officeDocument/2006/relationships/hyperlink" Target="https://talan.bank.gov.ua/get-user-certificate/J5325ZbnpuIKc1RVHe-A" TargetMode="External"/><Relationship Id="rId1268" Type="http://schemas.openxmlformats.org/officeDocument/2006/relationships/hyperlink" Target="https://talan.bank.gov.ua/get-user-certificate/J53255oE8YQWzoJ6UXl3" TargetMode="External"/><Relationship Id="rId1475" Type="http://schemas.openxmlformats.org/officeDocument/2006/relationships/hyperlink" Target="https://talan.bank.gov.ua/get-user-certificate/J5325EJPYYeDgs-6TVE_" TargetMode="External"/><Relationship Id="rId1682" Type="http://schemas.openxmlformats.org/officeDocument/2006/relationships/hyperlink" Target="https://talan.bank.gov.ua/get-user-certificate/J5325DXmSA3yYdek7v9H" TargetMode="External"/><Relationship Id="rId2319" Type="http://schemas.openxmlformats.org/officeDocument/2006/relationships/hyperlink" Target="https://talan.bank.gov.ua/get-user-certificate/J5325ZlPgic86Jb56Scx" TargetMode="External"/><Relationship Id="rId2526" Type="http://schemas.openxmlformats.org/officeDocument/2006/relationships/hyperlink" Target="https://talan.bank.gov.ua/get-user-certificate/J5325OGfX3vBpLuMivXx" TargetMode="External"/><Relationship Id="rId2733" Type="http://schemas.openxmlformats.org/officeDocument/2006/relationships/hyperlink" Target="https://talan.bank.gov.ua/get-user-certificate/J5325PI47ELaefqyVpVe" TargetMode="External"/><Relationship Id="rId705" Type="http://schemas.openxmlformats.org/officeDocument/2006/relationships/hyperlink" Target="https://talan.bank.gov.ua/get-user-certificate/J5325Cn16IuMlpG4n977" TargetMode="External"/><Relationship Id="rId1128" Type="http://schemas.openxmlformats.org/officeDocument/2006/relationships/hyperlink" Target="https://talan.bank.gov.ua/get-user-certificate/J5325cFIlCcxh1gynxXg" TargetMode="External"/><Relationship Id="rId1335" Type="http://schemas.openxmlformats.org/officeDocument/2006/relationships/hyperlink" Target="https://talan.bank.gov.ua/get-user-certificate/J5325pKIPOjEL4GVuMLH" TargetMode="External"/><Relationship Id="rId1542" Type="http://schemas.openxmlformats.org/officeDocument/2006/relationships/hyperlink" Target="https://talan.bank.gov.ua/get-user-certificate/J5325TpFTwC9gnrd6eIn" TargetMode="External"/><Relationship Id="rId2940" Type="http://schemas.openxmlformats.org/officeDocument/2006/relationships/hyperlink" Target="https://talan.bank.gov.ua/get-user-certificate/J5325Is53LmaXRmf8i5R" TargetMode="External"/><Relationship Id="rId912" Type="http://schemas.openxmlformats.org/officeDocument/2006/relationships/hyperlink" Target="https://talan.bank.gov.ua/get-user-certificate/J5325BRLFnOLqTqS8Wof" TargetMode="External"/><Relationship Id="rId2800" Type="http://schemas.openxmlformats.org/officeDocument/2006/relationships/hyperlink" Target="https://talan.bank.gov.ua/get-user-certificate/J5325SA0RvnkmpUfZ8vD" TargetMode="External"/><Relationship Id="rId41" Type="http://schemas.openxmlformats.org/officeDocument/2006/relationships/hyperlink" Target="https://talan.bank.gov.ua/get-user-certificate/J5325nqQofepPaiPpn6Y" TargetMode="External"/><Relationship Id="rId1402" Type="http://schemas.openxmlformats.org/officeDocument/2006/relationships/hyperlink" Target="https://talan.bank.gov.ua/get-user-certificate/J5325aID4l4jYd-5c8Y2" TargetMode="External"/><Relationship Id="rId288" Type="http://schemas.openxmlformats.org/officeDocument/2006/relationships/hyperlink" Target="https://talan.bank.gov.ua/get-user-certificate/J53255lXigsIioXL9VYI" TargetMode="External"/><Relationship Id="rId3367" Type="http://schemas.openxmlformats.org/officeDocument/2006/relationships/hyperlink" Target="https://talan.bank.gov.ua/get-user-certificate/J5325RSe0A0BI4qfOlTT" TargetMode="External"/><Relationship Id="rId3574" Type="http://schemas.openxmlformats.org/officeDocument/2006/relationships/hyperlink" Target="https://talan.bank.gov.ua/get-user-certificate/J5325IEqwkPEE5thPE0o" TargetMode="External"/><Relationship Id="rId3781" Type="http://schemas.openxmlformats.org/officeDocument/2006/relationships/hyperlink" Target="https://talan.bank.gov.ua/get-user-certificate/J532562mIBgUl--qPJ0p" TargetMode="External"/><Relationship Id="rId495" Type="http://schemas.openxmlformats.org/officeDocument/2006/relationships/hyperlink" Target="https://talan.bank.gov.ua/get-user-certificate/J5325286O3GD8SFmHv2X" TargetMode="External"/><Relationship Id="rId2176" Type="http://schemas.openxmlformats.org/officeDocument/2006/relationships/hyperlink" Target="https://talan.bank.gov.ua/get-user-certificate/J5325qS9SEiCoMZaQj5K" TargetMode="External"/><Relationship Id="rId2383" Type="http://schemas.openxmlformats.org/officeDocument/2006/relationships/hyperlink" Target="https://talan.bank.gov.ua/get-user-certificate/J5325YGCZP0AOvB_NRYz" TargetMode="External"/><Relationship Id="rId2590" Type="http://schemas.openxmlformats.org/officeDocument/2006/relationships/hyperlink" Target="https://talan.bank.gov.ua/get-user-certificate/J5325lvaEVsWFTDJQmjT" TargetMode="External"/><Relationship Id="rId3227" Type="http://schemas.openxmlformats.org/officeDocument/2006/relationships/hyperlink" Target="https://talan.bank.gov.ua/get-user-certificate/J5325zjIC92hrF4wQRik" TargetMode="External"/><Relationship Id="rId3434" Type="http://schemas.openxmlformats.org/officeDocument/2006/relationships/hyperlink" Target="https://talan.bank.gov.ua/get-user-certificate/J5325_-Dagqt4-IlDpEh" TargetMode="External"/><Relationship Id="rId3641" Type="http://schemas.openxmlformats.org/officeDocument/2006/relationships/hyperlink" Target="https://talan.bank.gov.ua/get-user-certificate/J53251tH8vrkLToDph1-" TargetMode="External"/><Relationship Id="rId148" Type="http://schemas.openxmlformats.org/officeDocument/2006/relationships/hyperlink" Target="https://talan.bank.gov.ua/get-user-certificate/J5325FgRTkk9k7rC7egC" TargetMode="External"/><Relationship Id="rId355" Type="http://schemas.openxmlformats.org/officeDocument/2006/relationships/hyperlink" Target="https://talan.bank.gov.ua/get-user-certificate/J5325ro0y5K_mxQJC542" TargetMode="External"/><Relationship Id="rId562" Type="http://schemas.openxmlformats.org/officeDocument/2006/relationships/hyperlink" Target="https://talan.bank.gov.ua/get-user-certificate/J5325xvIpVn8Tdgc0c5d" TargetMode="External"/><Relationship Id="rId1192" Type="http://schemas.openxmlformats.org/officeDocument/2006/relationships/hyperlink" Target="https://talan.bank.gov.ua/get-user-certificate/J5325rh0gyvjgrHDrwfZ" TargetMode="External"/><Relationship Id="rId2036" Type="http://schemas.openxmlformats.org/officeDocument/2006/relationships/hyperlink" Target="https://talan.bank.gov.ua/get-user-certificate/J5325SEI2NhA8fjZBdYP" TargetMode="External"/><Relationship Id="rId2243" Type="http://schemas.openxmlformats.org/officeDocument/2006/relationships/hyperlink" Target="https://talan.bank.gov.ua/get-user-certificate/J5325bHzT8XvjBlNsl3v" TargetMode="External"/><Relationship Id="rId2450" Type="http://schemas.openxmlformats.org/officeDocument/2006/relationships/hyperlink" Target="https://talan.bank.gov.ua/get-user-certificate/J5325KnAXgtSJj_coWCk" TargetMode="External"/><Relationship Id="rId3501" Type="http://schemas.openxmlformats.org/officeDocument/2006/relationships/hyperlink" Target="https://talan.bank.gov.ua/get-user-certificate/J5325AipSQRxjuCgGNla" TargetMode="External"/><Relationship Id="rId215" Type="http://schemas.openxmlformats.org/officeDocument/2006/relationships/hyperlink" Target="https://talan.bank.gov.ua/get-user-certificate/J532542Iy7VH7r3sqvEs" TargetMode="External"/><Relationship Id="rId422" Type="http://schemas.openxmlformats.org/officeDocument/2006/relationships/hyperlink" Target="https://talan.bank.gov.ua/get-user-certificate/J5325kFdSK6133MBdB3v" TargetMode="External"/><Relationship Id="rId1052" Type="http://schemas.openxmlformats.org/officeDocument/2006/relationships/hyperlink" Target="https://talan.bank.gov.ua/get-user-certificate/J5325YxyS3EpivsfsM4_" TargetMode="External"/><Relationship Id="rId2103" Type="http://schemas.openxmlformats.org/officeDocument/2006/relationships/hyperlink" Target="https://talan.bank.gov.ua/get-user-certificate/J5325Rlo_OA1It0p_J9C" TargetMode="External"/><Relationship Id="rId2310" Type="http://schemas.openxmlformats.org/officeDocument/2006/relationships/hyperlink" Target="https://talan.bank.gov.ua/get-user-certificate/J5325eTNXtCE-hF9bs_1" TargetMode="External"/><Relationship Id="rId4068" Type="http://schemas.openxmlformats.org/officeDocument/2006/relationships/hyperlink" Target="https://talan.bank.gov.ua/get-user-certificate/J5325IXS7y8fEgak0sQv" TargetMode="External"/><Relationship Id="rId1869" Type="http://schemas.openxmlformats.org/officeDocument/2006/relationships/hyperlink" Target="https://talan.bank.gov.ua/get-user-certificate/J5325tbOo0UlFcmMHuvz" TargetMode="External"/><Relationship Id="rId3084" Type="http://schemas.openxmlformats.org/officeDocument/2006/relationships/hyperlink" Target="https://talan.bank.gov.ua/get-user-certificate/J5325IfxEUz-ohKSFIZB" TargetMode="External"/><Relationship Id="rId3291" Type="http://schemas.openxmlformats.org/officeDocument/2006/relationships/hyperlink" Target="https://talan.bank.gov.ua/get-user-certificate/J5325Hu06eTTaNDPL7zV" TargetMode="External"/><Relationship Id="rId4135" Type="http://schemas.openxmlformats.org/officeDocument/2006/relationships/hyperlink" Target="https://talan.bank.gov.ua/get-user-certificate/J5325QmxUGBPGLRNDp57" TargetMode="External"/><Relationship Id="rId1729" Type="http://schemas.openxmlformats.org/officeDocument/2006/relationships/hyperlink" Target="https://talan.bank.gov.ua/get-user-certificate/J5325Kds3UvPX3OP-BeA" TargetMode="External"/><Relationship Id="rId1936" Type="http://schemas.openxmlformats.org/officeDocument/2006/relationships/hyperlink" Target="https://talan.bank.gov.ua/get-user-certificate/J5325tQve7Lq7xrS0cH1" TargetMode="External"/><Relationship Id="rId3151" Type="http://schemas.openxmlformats.org/officeDocument/2006/relationships/hyperlink" Target="https://talan.bank.gov.ua/get-user-certificate/J53258FdZqCCqpMtfwDp" TargetMode="External"/><Relationship Id="rId4202" Type="http://schemas.openxmlformats.org/officeDocument/2006/relationships/hyperlink" Target="https://talan.bank.gov.ua/get-user-certificate/TbxZWFH0HtjuRtZxQiM5" TargetMode="External"/><Relationship Id="rId3011" Type="http://schemas.openxmlformats.org/officeDocument/2006/relationships/hyperlink" Target="https://talan.bank.gov.ua/get-user-certificate/J5325Thi5PT324ixpv_J" TargetMode="External"/><Relationship Id="rId3968" Type="http://schemas.openxmlformats.org/officeDocument/2006/relationships/hyperlink" Target="https://talan.bank.gov.ua/get-user-certificate/J5325WRO7PmqQDjDLNd_" TargetMode="External"/><Relationship Id="rId5" Type="http://schemas.openxmlformats.org/officeDocument/2006/relationships/hyperlink" Target="https://talan.bank.gov.ua/get-user-certificate/J5325SFroLqXrO3xii-5" TargetMode="External"/><Relationship Id="rId889" Type="http://schemas.openxmlformats.org/officeDocument/2006/relationships/hyperlink" Target="https://talan.bank.gov.ua/get-user-certificate/J5325IKC9j8pMiQ4WLjv" TargetMode="External"/><Relationship Id="rId2777" Type="http://schemas.openxmlformats.org/officeDocument/2006/relationships/hyperlink" Target="https://talan.bank.gov.ua/get-user-certificate/J532538OEhCmRQowXR_F" TargetMode="External"/><Relationship Id="rId749" Type="http://schemas.openxmlformats.org/officeDocument/2006/relationships/hyperlink" Target="https://talan.bank.gov.ua/get-user-certificate/J5325V6FhVlVLh_oRvrW" TargetMode="External"/><Relationship Id="rId1379" Type="http://schemas.openxmlformats.org/officeDocument/2006/relationships/hyperlink" Target="https://talan.bank.gov.ua/get-user-certificate/J5325NwIbKT-UElEP_pP" TargetMode="External"/><Relationship Id="rId1586" Type="http://schemas.openxmlformats.org/officeDocument/2006/relationships/hyperlink" Target="https://talan.bank.gov.ua/get-user-certificate/J5325Uk8m_xSO22rhLxi" TargetMode="External"/><Relationship Id="rId2984" Type="http://schemas.openxmlformats.org/officeDocument/2006/relationships/hyperlink" Target="https://talan.bank.gov.ua/get-user-certificate/J5325zqllL-Ta9HKVLNU" TargetMode="External"/><Relationship Id="rId3828" Type="http://schemas.openxmlformats.org/officeDocument/2006/relationships/hyperlink" Target="https://talan.bank.gov.ua/get-user-certificate/J53257gS-cKNirU72orb" TargetMode="External"/><Relationship Id="rId609" Type="http://schemas.openxmlformats.org/officeDocument/2006/relationships/hyperlink" Target="https://talan.bank.gov.ua/get-user-certificate/J5325Of7JVsZSSqgewHa" TargetMode="External"/><Relationship Id="rId956" Type="http://schemas.openxmlformats.org/officeDocument/2006/relationships/hyperlink" Target="https://talan.bank.gov.ua/get-user-certificate/J5325FVjWrtfqDuGWuxU" TargetMode="External"/><Relationship Id="rId1239" Type="http://schemas.openxmlformats.org/officeDocument/2006/relationships/hyperlink" Target="https://talan.bank.gov.ua/get-user-certificate/J5325VMGnPS46IA34-Y0" TargetMode="External"/><Relationship Id="rId1793" Type="http://schemas.openxmlformats.org/officeDocument/2006/relationships/hyperlink" Target="https://talan.bank.gov.ua/get-user-certificate/J5325-nxU4ylT4y6Yl5l" TargetMode="External"/><Relationship Id="rId2637" Type="http://schemas.openxmlformats.org/officeDocument/2006/relationships/hyperlink" Target="https://talan.bank.gov.ua/get-user-certificate/J5325VX0OkndV33hSAs7" TargetMode="External"/><Relationship Id="rId2844" Type="http://schemas.openxmlformats.org/officeDocument/2006/relationships/hyperlink" Target="https://talan.bank.gov.ua/get-user-certificate/J5325tWBAAbrQ7ZCrCtn" TargetMode="External"/><Relationship Id="rId85" Type="http://schemas.openxmlformats.org/officeDocument/2006/relationships/hyperlink" Target="https://talan.bank.gov.ua/get-user-certificate/J53252v7K0YpVpE_GxEW" TargetMode="External"/><Relationship Id="rId816" Type="http://schemas.openxmlformats.org/officeDocument/2006/relationships/hyperlink" Target="https://talan.bank.gov.ua/get-user-certificate/J5325SRDROp6-6E-fdyH" TargetMode="External"/><Relationship Id="rId1446" Type="http://schemas.openxmlformats.org/officeDocument/2006/relationships/hyperlink" Target="https://talan.bank.gov.ua/get-user-certificate/J5325NyO28P8ZVa7Xm9O" TargetMode="External"/><Relationship Id="rId1653" Type="http://schemas.openxmlformats.org/officeDocument/2006/relationships/hyperlink" Target="https://talan.bank.gov.ua/get-user-certificate/J5325LVL0GhxvLz_wC5O" TargetMode="External"/><Relationship Id="rId1860" Type="http://schemas.openxmlformats.org/officeDocument/2006/relationships/hyperlink" Target="https://talan.bank.gov.ua/get-user-certificate/J5325x5KpvMMstaThw7H" TargetMode="External"/><Relationship Id="rId2704" Type="http://schemas.openxmlformats.org/officeDocument/2006/relationships/hyperlink" Target="https://talan.bank.gov.ua/get-user-certificate/J5325ah1Xtem85Hq0xix" TargetMode="External"/><Relationship Id="rId2911" Type="http://schemas.openxmlformats.org/officeDocument/2006/relationships/hyperlink" Target="https://talan.bank.gov.ua/get-user-certificate/J5325Z1Jk-3Vgx6xcWZ6" TargetMode="External"/><Relationship Id="rId1306" Type="http://schemas.openxmlformats.org/officeDocument/2006/relationships/hyperlink" Target="https://talan.bank.gov.ua/get-user-certificate/J5325U4jRP-_BawGRcr4" TargetMode="External"/><Relationship Id="rId1513" Type="http://schemas.openxmlformats.org/officeDocument/2006/relationships/hyperlink" Target="https://talan.bank.gov.ua/get-user-certificate/J53254a5W3XwbbfrckiV" TargetMode="External"/><Relationship Id="rId1720" Type="http://schemas.openxmlformats.org/officeDocument/2006/relationships/hyperlink" Target="https://talan.bank.gov.ua/get-user-certificate/J5325L2J3EnGMwV_xZ-L" TargetMode="External"/><Relationship Id="rId12" Type="http://schemas.openxmlformats.org/officeDocument/2006/relationships/hyperlink" Target="https://talan.bank.gov.ua/get-user-certificate/J5325ctlfVnFPAOj-a1J" TargetMode="External"/><Relationship Id="rId3478" Type="http://schemas.openxmlformats.org/officeDocument/2006/relationships/hyperlink" Target="https://talan.bank.gov.ua/get-user-certificate/J5325On7Sng5ZFDRGRgT" TargetMode="External"/><Relationship Id="rId3685" Type="http://schemas.openxmlformats.org/officeDocument/2006/relationships/hyperlink" Target="https://talan.bank.gov.ua/get-user-certificate/J5325MYHBoaLj5-FUeWo" TargetMode="External"/><Relationship Id="rId3892" Type="http://schemas.openxmlformats.org/officeDocument/2006/relationships/hyperlink" Target="https://talan.bank.gov.ua/get-user-certificate/J53257latmQnnLdory8X" TargetMode="External"/><Relationship Id="rId399" Type="http://schemas.openxmlformats.org/officeDocument/2006/relationships/hyperlink" Target="https://talan.bank.gov.ua/get-user-certificate/J5325joIBZQynZ_3W2Kv" TargetMode="External"/><Relationship Id="rId2287" Type="http://schemas.openxmlformats.org/officeDocument/2006/relationships/hyperlink" Target="https://talan.bank.gov.ua/get-user-certificate/J5325QtOwYvOpBCFSq2J" TargetMode="External"/><Relationship Id="rId2494" Type="http://schemas.openxmlformats.org/officeDocument/2006/relationships/hyperlink" Target="https://talan.bank.gov.ua/get-user-certificate/J5325w6Bt_owX7d3crXs" TargetMode="External"/><Relationship Id="rId3338" Type="http://schemas.openxmlformats.org/officeDocument/2006/relationships/hyperlink" Target="https://talan.bank.gov.ua/get-user-certificate/J5325F-HTi0MO4S9iOcr" TargetMode="External"/><Relationship Id="rId3545" Type="http://schemas.openxmlformats.org/officeDocument/2006/relationships/hyperlink" Target="https://talan.bank.gov.ua/get-user-certificate/J5325mJD86_7R29DdsDO" TargetMode="External"/><Relationship Id="rId3752" Type="http://schemas.openxmlformats.org/officeDocument/2006/relationships/hyperlink" Target="https://talan.bank.gov.ua/get-user-certificate/J5325xhwDy7WsP5IVhJe" TargetMode="External"/><Relationship Id="rId259" Type="http://schemas.openxmlformats.org/officeDocument/2006/relationships/hyperlink" Target="https://talan.bank.gov.ua/get-user-certificate/J5325cZEAJ-ctnuLicPp" TargetMode="External"/><Relationship Id="rId466" Type="http://schemas.openxmlformats.org/officeDocument/2006/relationships/hyperlink" Target="https://talan.bank.gov.ua/get-user-certificate/J5325eLgkGJu6AxNFNRA" TargetMode="External"/><Relationship Id="rId673" Type="http://schemas.openxmlformats.org/officeDocument/2006/relationships/hyperlink" Target="https://talan.bank.gov.ua/get-user-certificate/J5325Pb2H2agY2fu1XPN" TargetMode="External"/><Relationship Id="rId880" Type="http://schemas.openxmlformats.org/officeDocument/2006/relationships/hyperlink" Target="https://talan.bank.gov.ua/get-user-certificate/J5325CRGgtP5YYpd-2Oo" TargetMode="External"/><Relationship Id="rId1096" Type="http://schemas.openxmlformats.org/officeDocument/2006/relationships/hyperlink" Target="https://talan.bank.gov.ua/get-user-certificate/J5325SD9_iRHpkPlTsAA" TargetMode="External"/><Relationship Id="rId2147" Type="http://schemas.openxmlformats.org/officeDocument/2006/relationships/hyperlink" Target="https://talan.bank.gov.ua/get-user-certificate/J5325UwqeaLyDjCsLGhr" TargetMode="External"/><Relationship Id="rId2354" Type="http://schemas.openxmlformats.org/officeDocument/2006/relationships/hyperlink" Target="https://talan.bank.gov.ua/get-user-certificate/J5325vju7u9W1_CD8SEu" TargetMode="External"/><Relationship Id="rId2561" Type="http://schemas.openxmlformats.org/officeDocument/2006/relationships/hyperlink" Target="https://talan.bank.gov.ua/get-user-certificate/J5325kIYR_ivyYQCSu4z" TargetMode="External"/><Relationship Id="rId3405" Type="http://schemas.openxmlformats.org/officeDocument/2006/relationships/hyperlink" Target="https://talan.bank.gov.ua/get-user-certificate/J5325NXdAsULgdiDOlEE" TargetMode="External"/><Relationship Id="rId119" Type="http://schemas.openxmlformats.org/officeDocument/2006/relationships/hyperlink" Target="https://talan.bank.gov.ua/get-user-certificate/J5325CD1oFJI7IqoM03r" TargetMode="External"/><Relationship Id="rId326" Type="http://schemas.openxmlformats.org/officeDocument/2006/relationships/hyperlink" Target="https://talan.bank.gov.ua/get-user-certificate/J5325HV8AjCfBb8c4iTg" TargetMode="External"/><Relationship Id="rId533" Type="http://schemas.openxmlformats.org/officeDocument/2006/relationships/hyperlink" Target="https://talan.bank.gov.ua/get-user-certificate/J5325zEvdOfFjeBmOhqe" TargetMode="External"/><Relationship Id="rId1163" Type="http://schemas.openxmlformats.org/officeDocument/2006/relationships/hyperlink" Target="https://talan.bank.gov.ua/get-user-certificate/J5325FPvMP61dBRhdYWJ" TargetMode="External"/><Relationship Id="rId1370" Type="http://schemas.openxmlformats.org/officeDocument/2006/relationships/hyperlink" Target="https://talan.bank.gov.ua/get-user-certificate/J53259KsEtVivbteuWUM" TargetMode="External"/><Relationship Id="rId2007" Type="http://schemas.openxmlformats.org/officeDocument/2006/relationships/hyperlink" Target="https://talan.bank.gov.ua/get-user-certificate/J5325_A_3FpFHJSqZkcg" TargetMode="External"/><Relationship Id="rId2214" Type="http://schemas.openxmlformats.org/officeDocument/2006/relationships/hyperlink" Target="https://talan.bank.gov.ua/get-user-certificate/J5325wgTCcTH1zYZkJXR" TargetMode="External"/><Relationship Id="rId3612" Type="http://schemas.openxmlformats.org/officeDocument/2006/relationships/hyperlink" Target="https://talan.bank.gov.ua/get-user-certificate/J5325w8_0NKnqDvOe4ks" TargetMode="External"/><Relationship Id="rId740" Type="http://schemas.openxmlformats.org/officeDocument/2006/relationships/hyperlink" Target="https://talan.bank.gov.ua/get-user-certificate/J5325scM3sHv6szzHaoO" TargetMode="External"/><Relationship Id="rId1023" Type="http://schemas.openxmlformats.org/officeDocument/2006/relationships/hyperlink" Target="https://talan.bank.gov.ua/get-user-certificate/J5325_4xYJS7f2dNy4wr" TargetMode="External"/><Relationship Id="rId2421" Type="http://schemas.openxmlformats.org/officeDocument/2006/relationships/hyperlink" Target="https://talan.bank.gov.ua/get-user-certificate/J5325Er_q_jpWK4OAVcB" TargetMode="External"/><Relationship Id="rId4179" Type="http://schemas.openxmlformats.org/officeDocument/2006/relationships/hyperlink" Target="https://talan.bank.gov.ua/get-user-certificate/TbxZWqcArB3oMvn9ST0k" TargetMode="External"/><Relationship Id="rId600" Type="http://schemas.openxmlformats.org/officeDocument/2006/relationships/hyperlink" Target="https://talan.bank.gov.ua/get-user-certificate/J5325SVSO39O5AowWVXp" TargetMode="External"/><Relationship Id="rId1230" Type="http://schemas.openxmlformats.org/officeDocument/2006/relationships/hyperlink" Target="https://talan.bank.gov.ua/get-user-certificate/J5325F1QY1XWN_eIfN-w" TargetMode="External"/><Relationship Id="rId3195" Type="http://schemas.openxmlformats.org/officeDocument/2006/relationships/hyperlink" Target="https://talan.bank.gov.ua/get-user-certificate/J53250GHMLQs_qctV018" TargetMode="External"/><Relationship Id="rId4039" Type="http://schemas.openxmlformats.org/officeDocument/2006/relationships/hyperlink" Target="https://talan.bank.gov.ua/get-user-certificate/J5325OxgSqatc3ZiXZo9" TargetMode="External"/><Relationship Id="rId4246" Type="http://schemas.openxmlformats.org/officeDocument/2006/relationships/hyperlink" Target="https://talan.bank.gov.ua/get-user-certificate/CYWPHlAg8rc3rCsmhLMD" TargetMode="External"/><Relationship Id="rId3055" Type="http://schemas.openxmlformats.org/officeDocument/2006/relationships/hyperlink" Target="https://talan.bank.gov.ua/get-user-certificate/J5325yEGQNitO8XJCPAn" TargetMode="External"/><Relationship Id="rId3262" Type="http://schemas.openxmlformats.org/officeDocument/2006/relationships/hyperlink" Target="https://talan.bank.gov.ua/get-user-certificate/J5325pCvK0f6ZoDuN57t" TargetMode="External"/><Relationship Id="rId4106" Type="http://schemas.openxmlformats.org/officeDocument/2006/relationships/hyperlink" Target="https://talan.bank.gov.ua/get-user-certificate/J5325D5tK7ZVWo1wIYzz" TargetMode="External"/><Relationship Id="rId183" Type="http://schemas.openxmlformats.org/officeDocument/2006/relationships/hyperlink" Target="https://talan.bank.gov.ua/get-user-certificate/J5325ZTck2nBNUyucpV8" TargetMode="External"/><Relationship Id="rId390" Type="http://schemas.openxmlformats.org/officeDocument/2006/relationships/hyperlink" Target="https://talan.bank.gov.ua/get-user-certificate/J5325IGtAfbmvbKfBK8E" TargetMode="External"/><Relationship Id="rId1907" Type="http://schemas.openxmlformats.org/officeDocument/2006/relationships/hyperlink" Target="https://talan.bank.gov.ua/get-user-certificate/J5325l5MGGkKl_EfvNhB" TargetMode="External"/><Relationship Id="rId2071" Type="http://schemas.openxmlformats.org/officeDocument/2006/relationships/hyperlink" Target="https://talan.bank.gov.ua/get-user-certificate/J5325ZGAk_37hqBTDFDY" TargetMode="External"/><Relationship Id="rId3122" Type="http://schemas.openxmlformats.org/officeDocument/2006/relationships/hyperlink" Target="https://talan.bank.gov.ua/get-user-certificate/J5325JOulf3rPmV-ySbq" TargetMode="External"/><Relationship Id="rId250" Type="http://schemas.openxmlformats.org/officeDocument/2006/relationships/hyperlink" Target="https://talan.bank.gov.ua/get-user-certificate/J5325CIgxqXpUVtO84xm" TargetMode="External"/><Relationship Id="rId110" Type="http://schemas.openxmlformats.org/officeDocument/2006/relationships/hyperlink" Target="https://talan.bank.gov.ua/get-user-certificate/J5325NYQ4u5QfcslF903" TargetMode="External"/><Relationship Id="rId2888" Type="http://schemas.openxmlformats.org/officeDocument/2006/relationships/hyperlink" Target="https://talan.bank.gov.ua/get-user-certificate/J5325MbaZ8_-0ryGuyvm" TargetMode="External"/><Relationship Id="rId3939" Type="http://schemas.openxmlformats.org/officeDocument/2006/relationships/hyperlink" Target="https://talan.bank.gov.ua/get-user-certificate/J5325CSMEDyWonip4A6e" TargetMode="External"/><Relationship Id="rId1697" Type="http://schemas.openxmlformats.org/officeDocument/2006/relationships/hyperlink" Target="https://talan.bank.gov.ua/get-user-certificate/J5325uYQvCs4qlisaMy0" TargetMode="External"/><Relationship Id="rId2748" Type="http://schemas.openxmlformats.org/officeDocument/2006/relationships/hyperlink" Target="https://talan.bank.gov.ua/get-user-certificate/J5325gfDN7Lje6GubCHS" TargetMode="External"/><Relationship Id="rId2955" Type="http://schemas.openxmlformats.org/officeDocument/2006/relationships/hyperlink" Target="https://talan.bank.gov.ua/get-user-certificate/J5325CdO-4KdWf8NFbTt" TargetMode="External"/><Relationship Id="rId927" Type="http://schemas.openxmlformats.org/officeDocument/2006/relationships/hyperlink" Target="https://talan.bank.gov.ua/get-user-certificate/J53252e4F_V-30c5_xSo" TargetMode="External"/><Relationship Id="rId1557" Type="http://schemas.openxmlformats.org/officeDocument/2006/relationships/hyperlink" Target="https://talan.bank.gov.ua/get-user-certificate/J5325eVS9jPLN1OGcC55" TargetMode="External"/><Relationship Id="rId1764" Type="http://schemas.openxmlformats.org/officeDocument/2006/relationships/hyperlink" Target="https://talan.bank.gov.ua/get-user-certificate/J5325qBqwR7feMDgFHc_" TargetMode="External"/><Relationship Id="rId1971" Type="http://schemas.openxmlformats.org/officeDocument/2006/relationships/hyperlink" Target="https://talan.bank.gov.ua/get-user-certificate/J53256jbPrNWbPPgQ8oS" TargetMode="External"/><Relationship Id="rId2608" Type="http://schemas.openxmlformats.org/officeDocument/2006/relationships/hyperlink" Target="https://talan.bank.gov.ua/get-user-certificate/J5325iP2xkSFJumIoZ-X" TargetMode="External"/><Relationship Id="rId2815" Type="http://schemas.openxmlformats.org/officeDocument/2006/relationships/hyperlink" Target="https://talan.bank.gov.ua/get-user-certificate/J5325e9w8Nvi0l1Sk1Vt" TargetMode="External"/><Relationship Id="rId4170" Type="http://schemas.openxmlformats.org/officeDocument/2006/relationships/hyperlink" Target="https://talan.bank.gov.ua/get-user-certificate/J5325Xb4-WkgSLXxmzDk" TargetMode="External"/><Relationship Id="rId56" Type="http://schemas.openxmlformats.org/officeDocument/2006/relationships/hyperlink" Target="https://talan.bank.gov.ua/get-user-certificate/J5325GmeAe3VNfzH2Wcc" TargetMode="External"/><Relationship Id="rId1417" Type="http://schemas.openxmlformats.org/officeDocument/2006/relationships/hyperlink" Target="https://talan.bank.gov.ua/get-user-certificate/J5325tXYCjtb5_2ZWlIV" TargetMode="External"/><Relationship Id="rId1624" Type="http://schemas.openxmlformats.org/officeDocument/2006/relationships/hyperlink" Target="https://talan.bank.gov.ua/get-user-certificate/J5325pQf3TsLN6wBdg0v" TargetMode="External"/><Relationship Id="rId1831" Type="http://schemas.openxmlformats.org/officeDocument/2006/relationships/hyperlink" Target="https://talan.bank.gov.ua/get-user-certificate/J5325NP3XXQhhlehFkGd" TargetMode="External"/><Relationship Id="rId4030" Type="http://schemas.openxmlformats.org/officeDocument/2006/relationships/hyperlink" Target="https://talan.bank.gov.ua/get-user-certificate/J5325KeRCIEF6vQbkudT" TargetMode="External"/><Relationship Id="rId3589" Type="http://schemas.openxmlformats.org/officeDocument/2006/relationships/hyperlink" Target="https://talan.bank.gov.ua/get-user-certificate/J5325gZ1yuW3fUFWN1ti" TargetMode="External"/><Relationship Id="rId3796" Type="http://schemas.openxmlformats.org/officeDocument/2006/relationships/hyperlink" Target="https://talan.bank.gov.ua/get-user-certificate/J5325BYLuGSqA0O9mbmK" TargetMode="External"/><Relationship Id="rId2398" Type="http://schemas.openxmlformats.org/officeDocument/2006/relationships/hyperlink" Target="https://talan.bank.gov.ua/get-user-certificate/J5325X_SP1YEvjbUpcGQ" TargetMode="External"/><Relationship Id="rId3449" Type="http://schemas.openxmlformats.org/officeDocument/2006/relationships/hyperlink" Target="https://talan.bank.gov.ua/get-user-certificate/J5325OghK-y8gkO6YFWj" TargetMode="External"/><Relationship Id="rId577" Type="http://schemas.openxmlformats.org/officeDocument/2006/relationships/hyperlink" Target="https://talan.bank.gov.ua/get-user-certificate/J5325YfbJ9gy0ByjU9pB" TargetMode="External"/><Relationship Id="rId2258" Type="http://schemas.openxmlformats.org/officeDocument/2006/relationships/hyperlink" Target="https://talan.bank.gov.ua/get-user-certificate/J5325gtjxrVWmfTeN8D9" TargetMode="External"/><Relationship Id="rId3656" Type="http://schemas.openxmlformats.org/officeDocument/2006/relationships/hyperlink" Target="https://talan.bank.gov.ua/get-user-certificate/J5325gVD51iUPjtdD5NK" TargetMode="External"/><Relationship Id="rId3863" Type="http://schemas.openxmlformats.org/officeDocument/2006/relationships/hyperlink" Target="https://talan.bank.gov.ua/get-user-certificate/J53253BhaGr1lXqagOvT" TargetMode="External"/><Relationship Id="rId784" Type="http://schemas.openxmlformats.org/officeDocument/2006/relationships/hyperlink" Target="https://talan.bank.gov.ua/get-user-certificate/J5325Vg-FtvdYV0a1hrw" TargetMode="External"/><Relationship Id="rId991" Type="http://schemas.openxmlformats.org/officeDocument/2006/relationships/hyperlink" Target="https://talan.bank.gov.ua/get-user-certificate/J5325sOaGIaItCSsQicw" TargetMode="External"/><Relationship Id="rId1067" Type="http://schemas.openxmlformats.org/officeDocument/2006/relationships/hyperlink" Target="https://talan.bank.gov.ua/get-user-certificate/J532577dXcF71UOShj_l" TargetMode="External"/><Relationship Id="rId2465" Type="http://schemas.openxmlformats.org/officeDocument/2006/relationships/hyperlink" Target="https://talan.bank.gov.ua/get-user-certificate/J5325YISteksv8aPZl_4" TargetMode="External"/><Relationship Id="rId2672" Type="http://schemas.openxmlformats.org/officeDocument/2006/relationships/hyperlink" Target="https://talan.bank.gov.ua/get-user-certificate/J5325yg2Zw2AbcUthGNQ" TargetMode="External"/><Relationship Id="rId3309" Type="http://schemas.openxmlformats.org/officeDocument/2006/relationships/hyperlink" Target="https://talan.bank.gov.ua/get-user-certificate/J5325CWDbo3jmGmTTpE7" TargetMode="External"/><Relationship Id="rId3516" Type="http://schemas.openxmlformats.org/officeDocument/2006/relationships/hyperlink" Target="https://talan.bank.gov.ua/get-user-certificate/J5325wfMN7QWAi8xj-Hr" TargetMode="External"/><Relationship Id="rId3723" Type="http://schemas.openxmlformats.org/officeDocument/2006/relationships/hyperlink" Target="https://talan.bank.gov.ua/get-user-certificate/J5325jrfFYDJnbF-3ZyZ" TargetMode="External"/><Relationship Id="rId3930" Type="http://schemas.openxmlformats.org/officeDocument/2006/relationships/hyperlink" Target="https://talan.bank.gov.ua/get-user-certificate/J53258GtcII4G8zUS4zt" TargetMode="External"/><Relationship Id="rId437" Type="http://schemas.openxmlformats.org/officeDocument/2006/relationships/hyperlink" Target="https://talan.bank.gov.ua/get-user-certificate/J53253AX3dHYSgs59vuX" TargetMode="External"/><Relationship Id="rId644" Type="http://schemas.openxmlformats.org/officeDocument/2006/relationships/hyperlink" Target="https://talan.bank.gov.ua/get-user-certificate/J53252VCyLQTzpjJF51f" TargetMode="External"/><Relationship Id="rId851" Type="http://schemas.openxmlformats.org/officeDocument/2006/relationships/hyperlink" Target="https://talan.bank.gov.ua/get-user-certificate/J5325oFbUzbVu1rWndO3" TargetMode="External"/><Relationship Id="rId1274" Type="http://schemas.openxmlformats.org/officeDocument/2006/relationships/hyperlink" Target="https://talan.bank.gov.ua/get-user-certificate/J5325i3Ffith-urc_xOp" TargetMode="External"/><Relationship Id="rId1481" Type="http://schemas.openxmlformats.org/officeDocument/2006/relationships/hyperlink" Target="https://talan.bank.gov.ua/get-user-certificate/J53251AJ9wYKTn1_hysg" TargetMode="External"/><Relationship Id="rId2118" Type="http://schemas.openxmlformats.org/officeDocument/2006/relationships/hyperlink" Target="https://talan.bank.gov.ua/get-user-certificate/J5325g_TtK7-H-BCVxS2" TargetMode="External"/><Relationship Id="rId2325" Type="http://schemas.openxmlformats.org/officeDocument/2006/relationships/hyperlink" Target="https://talan.bank.gov.ua/get-user-certificate/J5325V54Eerh-SR1ia_W" TargetMode="External"/><Relationship Id="rId2532" Type="http://schemas.openxmlformats.org/officeDocument/2006/relationships/hyperlink" Target="https://talan.bank.gov.ua/get-user-certificate/J5325DH0TQN9S__J0myI" TargetMode="External"/><Relationship Id="rId504" Type="http://schemas.openxmlformats.org/officeDocument/2006/relationships/hyperlink" Target="https://talan.bank.gov.ua/get-user-certificate/J5325pvbuxKKaKhkjkce" TargetMode="External"/><Relationship Id="rId711" Type="http://schemas.openxmlformats.org/officeDocument/2006/relationships/hyperlink" Target="https://talan.bank.gov.ua/get-user-certificate/J5325SVXzklFkETVSQbE" TargetMode="External"/><Relationship Id="rId1134" Type="http://schemas.openxmlformats.org/officeDocument/2006/relationships/hyperlink" Target="https://talan.bank.gov.ua/get-user-certificate/J5325ID0LN3XELcVzWIo" TargetMode="External"/><Relationship Id="rId1341" Type="http://schemas.openxmlformats.org/officeDocument/2006/relationships/hyperlink" Target="https://talan.bank.gov.ua/get-user-certificate/J5325HB8L8H8xXk0s3AE" TargetMode="External"/><Relationship Id="rId1201" Type="http://schemas.openxmlformats.org/officeDocument/2006/relationships/hyperlink" Target="https://talan.bank.gov.ua/get-user-certificate/J5325FQ8XoAcsR7dtlEt" TargetMode="External"/><Relationship Id="rId3099" Type="http://schemas.openxmlformats.org/officeDocument/2006/relationships/hyperlink" Target="https://talan.bank.gov.ua/get-user-certificate/J53251_AmD7ggilU7h5N" TargetMode="External"/><Relationship Id="rId3166" Type="http://schemas.openxmlformats.org/officeDocument/2006/relationships/hyperlink" Target="https://talan.bank.gov.ua/get-user-certificate/J5325hHraoWvJ435uEqE" TargetMode="External"/><Relationship Id="rId3373" Type="http://schemas.openxmlformats.org/officeDocument/2006/relationships/hyperlink" Target="https://talan.bank.gov.ua/get-user-certificate/J5325-0G_UtqLFbE2Q8M" TargetMode="External"/><Relationship Id="rId3580" Type="http://schemas.openxmlformats.org/officeDocument/2006/relationships/hyperlink" Target="https://talan.bank.gov.ua/get-user-certificate/J5325fHxS1EfNt-qfDd3" TargetMode="External"/><Relationship Id="rId4217" Type="http://schemas.openxmlformats.org/officeDocument/2006/relationships/hyperlink" Target="https://talan.bank.gov.ua/get-user-certificate/lHoZPUKIDLSGpVH2L27l" TargetMode="External"/><Relationship Id="rId294" Type="http://schemas.openxmlformats.org/officeDocument/2006/relationships/hyperlink" Target="https://talan.bank.gov.ua/get-user-certificate/J53251uS4CwhxMtCUtWs" TargetMode="External"/><Relationship Id="rId2182" Type="http://schemas.openxmlformats.org/officeDocument/2006/relationships/hyperlink" Target="https://talan.bank.gov.ua/get-user-certificate/J5325njEjQGEGDSZxrq1" TargetMode="External"/><Relationship Id="rId3026" Type="http://schemas.openxmlformats.org/officeDocument/2006/relationships/hyperlink" Target="https://talan.bank.gov.ua/get-user-certificate/J5325vYyXurpRPQ86DX-" TargetMode="External"/><Relationship Id="rId3233" Type="http://schemas.openxmlformats.org/officeDocument/2006/relationships/hyperlink" Target="https://talan.bank.gov.ua/get-user-certificate/J5325Pxroblq_cN3SFCv" TargetMode="External"/><Relationship Id="rId154" Type="http://schemas.openxmlformats.org/officeDocument/2006/relationships/hyperlink" Target="https://talan.bank.gov.ua/get-user-certificate/J5325fZXm-myB9OT7gBq" TargetMode="External"/><Relationship Id="rId361" Type="http://schemas.openxmlformats.org/officeDocument/2006/relationships/hyperlink" Target="https://talan.bank.gov.ua/get-user-certificate/J5325ORV4adcDU7goIgY" TargetMode="External"/><Relationship Id="rId2042" Type="http://schemas.openxmlformats.org/officeDocument/2006/relationships/hyperlink" Target="https://talan.bank.gov.ua/get-user-certificate/J5325qcqEHAHs18B4HBG" TargetMode="External"/><Relationship Id="rId3440" Type="http://schemas.openxmlformats.org/officeDocument/2006/relationships/hyperlink" Target="https://talan.bank.gov.ua/get-user-certificate/J5325o3KhLFU4W6bA6nx" TargetMode="External"/><Relationship Id="rId2999" Type="http://schemas.openxmlformats.org/officeDocument/2006/relationships/hyperlink" Target="https://talan.bank.gov.ua/get-user-certificate/J5325SHg3RK2FBLajddg" TargetMode="External"/><Relationship Id="rId3300" Type="http://schemas.openxmlformats.org/officeDocument/2006/relationships/hyperlink" Target="https://talan.bank.gov.ua/get-user-certificate/J5325pl662sPgmKsdCKl" TargetMode="External"/><Relationship Id="rId221" Type="http://schemas.openxmlformats.org/officeDocument/2006/relationships/hyperlink" Target="https://talan.bank.gov.ua/get-user-certificate/J5325qoAdeYZhv8qtVFj" TargetMode="External"/><Relationship Id="rId2859" Type="http://schemas.openxmlformats.org/officeDocument/2006/relationships/hyperlink" Target="https://talan.bank.gov.ua/get-user-certificate/J53250jMjBTGerakwlA1" TargetMode="External"/><Relationship Id="rId1668" Type="http://schemas.openxmlformats.org/officeDocument/2006/relationships/hyperlink" Target="https://talan.bank.gov.ua/get-user-certificate/J5325IeZG36Q_O2vXwxT" TargetMode="External"/><Relationship Id="rId1875" Type="http://schemas.openxmlformats.org/officeDocument/2006/relationships/hyperlink" Target="https://talan.bank.gov.ua/get-user-certificate/J5325VZ0aklG0I1hPaU9" TargetMode="External"/><Relationship Id="rId2719" Type="http://schemas.openxmlformats.org/officeDocument/2006/relationships/hyperlink" Target="https://talan.bank.gov.ua/get-user-certificate/J53250MNPEzQrMI6_chW" TargetMode="External"/><Relationship Id="rId4074" Type="http://schemas.openxmlformats.org/officeDocument/2006/relationships/hyperlink" Target="https://talan.bank.gov.ua/get-user-certificate/J5325--paf_zLIlYuKY6" TargetMode="External"/><Relationship Id="rId1528" Type="http://schemas.openxmlformats.org/officeDocument/2006/relationships/hyperlink" Target="https://talan.bank.gov.ua/get-user-certificate/J5325HskuOJLu141q102" TargetMode="External"/><Relationship Id="rId2926" Type="http://schemas.openxmlformats.org/officeDocument/2006/relationships/hyperlink" Target="https://talan.bank.gov.ua/get-user-certificate/J53255rnmp3vAbnUWN9-" TargetMode="External"/><Relationship Id="rId3090" Type="http://schemas.openxmlformats.org/officeDocument/2006/relationships/hyperlink" Target="https://talan.bank.gov.ua/get-user-certificate/J5325r2MtR3BC5VYoeh8" TargetMode="External"/><Relationship Id="rId4141" Type="http://schemas.openxmlformats.org/officeDocument/2006/relationships/hyperlink" Target="https://talan.bank.gov.ua/get-user-certificate/J5325cw4RbVbWzvoTQsc" TargetMode="External"/><Relationship Id="rId1735" Type="http://schemas.openxmlformats.org/officeDocument/2006/relationships/hyperlink" Target="https://talan.bank.gov.ua/get-user-certificate/J5325lvXKXDYQqsDFFjQ" TargetMode="External"/><Relationship Id="rId1942" Type="http://schemas.openxmlformats.org/officeDocument/2006/relationships/hyperlink" Target="https://talan.bank.gov.ua/get-user-certificate/J5325lXNYOIclVbiHcLl" TargetMode="External"/><Relationship Id="rId4001" Type="http://schemas.openxmlformats.org/officeDocument/2006/relationships/hyperlink" Target="https://talan.bank.gov.ua/get-user-certificate/J5325Y7HgNLW3EGCRh4h" TargetMode="External"/><Relationship Id="rId27" Type="http://schemas.openxmlformats.org/officeDocument/2006/relationships/hyperlink" Target="https://talan.bank.gov.ua/get-user-certificate/J5325DJ8bGSPAu0HnDyE" TargetMode="External"/><Relationship Id="rId1802" Type="http://schemas.openxmlformats.org/officeDocument/2006/relationships/hyperlink" Target="https://talan.bank.gov.ua/get-user-certificate/J53251tmi4hcqgvXcP0m" TargetMode="External"/><Relationship Id="rId3767" Type="http://schemas.openxmlformats.org/officeDocument/2006/relationships/hyperlink" Target="https://talan.bank.gov.ua/get-user-certificate/J5325vNAXKNnjyETL-Cf" TargetMode="External"/><Relationship Id="rId3974" Type="http://schemas.openxmlformats.org/officeDocument/2006/relationships/hyperlink" Target="https://talan.bank.gov.ua/get-user-certificate/J5325uJrlG20HjvFIEF1" TargetMode="External"/><Relationship Id="rId688" Type="http://schemas.openxmlformats.org/officeDocument/2006/relationships/hyperlink" Target="https://talan.bank.gov.ua/get-user-certificate/J53250M3ejtkeM1kwEXq" TargetMode="External"/><Relationship Id="rId895" Type="http://schemas.openxmlformats.org/officeDocument/2006/relationships/hyperlink" Target="https://talan.bank.gov.ua/get-user-certificate/J53254mniHyrBuoVorr4" TargetMode="External"/><Relationship Id="rId2369" Type="http://schemas.openxmlformats.org/officeDocument/2006/relationships/hyperlink" Target="https://talan.bank.gov.ua/get-user-certificate/J5325yyCsi1LaD2_rD6I" TargetMode="External"/><Relationship Id="rId2576" Type="http://schemas.openxmlformats.org/officeDocument/2006/relationships/hyperlink" Target="https://talan.bank.gov.ua/get-user-certificate/J5325onQrLnj5cEa-m8r" TargetMode="External"/><Relationship Id="rId2783" Type="http://schemas.openxmlformats.org/officeDocument/2006/relationships/hyperlink" Target="https://talan.bank.gov.ua/get-user-certificate/J5325iOhYXndyO_fm3Sz" TargetMode="External"/><Relationship Id="rId2990" Type="http://schemas.openxmlformats.org/officeDocument/2006/relationships/hyperlink" Target="https://talan.bank.gov.ua/get-user-certificate/J5325cmbHSIx0-_LB3TO" TargetMode="External"/><Relationship Id="rId3627" Type="http://schemas.openxmlformats.org/officeDocument/2006/relationships/hyperlink" Target="https://talan.bank.gov.ua/get-user-certificate/J53256K6Y-E7icd8U7TT" TargetMode="External"/><Relationship Id="rId3834" Type="http://schemas.openxmlformats.org/officeDocument/2006/relationships/hyperlink" Target="https://talan.bank.gov.ua/get-user-certificate/J5325FXHX-J-gZPAy-l7" TargetMode="External"/><Relationship Id="rId548" Type="http://schemas.openxmlformats.org/officeDocument/2006/relationships/hyperlink" Target="https://talan.bank.gov.ua/get-user-certificate/J5325NtmIDLOHxJ_uyLR" TargetMode="External"/><Relationship Id="rId755" Type="http://schemas.openxmlformats.org/officeDocument/2006/relationships/hyperlink" Target="https://talan.bank.gov.ua/get-user-certificate/J5325xIus3Ga43molhxh" TargetMode="External"/><Relationship Id="rId962" Type="http://schemas.openxmlformats.org/officeDocument/2006/relationships/hyperlink" Target="https://talan.bank.gov.ua/get-user-certificate/J5325PYU6peeRzXEWOsu" TargetMode="External"/><Relationship Id="rId1178" Type="http://schemas.openxmlformats.org/officeDocument/2006/relationships/hyperlink" Target="https://talan.bank.gov.ua/get-user-certificate/J5325GacEJ3qSlhBvnAq" TargetMode="External"/><Relationship Id="rId1385" Type="http://schemas.openxmlformats.org/officeDocument/2006/relationships/hyperlink" Target="https://talan.bank.gov.ua/get-user-certificate/J5325uvAfD6l6Vqu_UHA" TargetMode="External"/><Relationship Id="rId1592" Type="http://schemas.openxmlformats.org/officeDocument/2006/relationships/hyperlink" Target="https://talan.bank.gov.ua/get-user-certificate/J5325P9tkTcwKZvNe8VT" TargetMode="External"/><Relationship Id="rId2229" Type="http://schemas.openxmlformats.org/officeDocument/2006/relationships/hyperlink" Target="https://talan.bank.gov.ua/get-user-certificate/J5325iL6p-Xpgup2-XuI" TargetMode="External"/><Relationship Id="rId2436" Type="http://schemas.openxmlformats.org/officeDocument/2006/relationships/hyperlink" Target="https://talan.bank.gov.ua/get-user-certificate/J5325ubCxqxDX_IFeGW5" TargetMode="External"/><Relationship Id="rId2643" Type="http://schemas.openxmlformats.org/officeDocument/2006/relationships/hyperlink" Target="https://talan.bank.gov.ua/get-user-certificate/J5325d7NhStBQuLnQwkw" TargetMode="External"/><Relationship Id="rId2850" Type="http://schemas.openxmlformats.org/officeDocument/2006/relationships/hyperlink" Target="https://talan.bank.gov.ua/get-user-certificate/J5325YWkGap4V1K7W2pH" TargetMode="External"/><Relationship Id="rId91" Type="http://schemas.openxmlformats.org/officeDocument/2006/relationships/hyperlink" Target="https://talan.bank.gov.ua/get-user-certificate/J5325NA9bKR3sG9Sh7Za" TargetMode="External"/><Relationship Id="rId408" Type="http://schemas.openxmlformats.org/officeDocument/2006/relationships/hyperlink" Target="https://talan.bank.gov.ua/get-user-certificate/J5325XYI8YZxQbVUdhzm" TargetMode="External"/><Relationship Id="rId615" Type="http://schemas.openxmlformats.org/officeDocument/2006/relationships/hyperlink" Target="https://talan.bank.gov.ua/get-user-certificate/J5325PCwSAbp17RYwMIk" TargetMode="External"/><Relationship Id="rId822" Type="http://schemas.openxmlformats.org/officeDocument/2006/relationships/hyperlink" Target="https://talan.bank.gov.ua/get-user-certificate/J5325Uy4wb937TLIe362" TargetMode="External"/><Relationship Id="rId1038" Type="http://schemas.openxmlformats.org/officeDocument/2006/relationships/hyperlink" Target="https://talan.bank.gov.ua/get-user-certificate/J5325AVvyqmN5R21o1Rt" TargetMode="External"/><Relationship Id="rId1245" Type="http://schemas.openxmlformats.org/officeDocument/2006/relationships/hyperlink" Target="https://talan.bank.gov.ua/get-user-certificate/J5325TiDBXeUAaeaieXd" TargetMode="External"/><Relationship Id="rId1452" Type="http://schemas.openxmlformats.org/officeDocument/2006/relationships/hyperlink" Target="https://talan.bank.gov.ua/get-user-certificate/J5325F6foSpVb5KHxjpU" TargetMode="External"/><Relationship Id="rId2503" Type="http://schemas.openxmlformats.org/officeDocument/2006/relationships/hyperlink" Target="https://talan.bank.gov.ua/get-user-certificate/J5325YfB8spxQyDW3EF-" TargetMode="External"/><Relationship Id="rId3901" Type="http://schemas.openxmlformats.org/officeDocument/2006/relationships/hyperlink" Target="https://talan.bank.gov.ua/get-user-certificate/J5325ON9GBg4nKx-ZbPS" TargetMode="External"/><Relationship Id="rId1105" Type="http://schemas.openxmlformats.org/officeDocument/2006/relationships/hyperlink" Target="https://talan.bank.gov.ua/get-user-certificate/J5325_VLjaoIlhVJb7Ob" TargetMode="External"/><Relationship Id="rId1312" Type="http://schemas.openxmlformats.org/officeDocument/2006/relationships/hyperlink" Target="https://talan.bank.gov.ua/get-user-certificate/J5325S54-rV8epONIdLL" TargetMode="External"/><Relationship Id="rId2710" Type="http://schemas.openxmlformats.org/officeDocument/2006/relationships/hyperlink" Target="https://talan.bank.gov.ua/get-user-certificate/J5325QPn7eC3ApzwBEsU" TargetMode="External"/><Relationship Id="rId3277" Type="http://schemas.openxmlformats.org/officeDocument/2006/relationships/hyperlink" Target="https://talan.bank.gov.ua/get-user-certificate/J5325bNAyM9a3IzziE30" TargetMode="External"/><Relationship Id="rId198" Type="http://schemas.openxmlformats.org/officeDocument/2006/relationships/hyperlink" Target="https://talan.bank.gov.ua/get-user-certificate/J5325f_QbeLJHPbWzW9L" TargetMode="External"/><Relationship Id="rId2086" Type="http://schemas.openxmlformats.org/officeDocument/2006/relationships/hyperlink" Target="https://talan.bank.gov.ua/get-user-certificate/J5325V8nMV6j1Aq8xB-A" TargetMode="External"/><Relationship Id="rId3484" Type="http://schemas.openxmlformats.org/officeDocument/2006/relationships/hyperlink" Target="https://talan.bank.gov.ua/get-user-certificate/J5325OO-1lbjrMr_ZPPi" TargetMode="External"/><Relationship Id="rId3691" Type="http://schemas.openxmlformats.org/officeDocument/2006/relationships/hyperlink" Target="https://talan.bank.gov.ua/get-user-certificate/J5325_bl85arjxxtQYqg" TargetMode="External"/><Relationship Id="rId2293" Type="http://schemas.openxmlformats.org/officeDocument/2006/relationships/hyperlink" Target="https://talan.bank.gov.ua/get-user-certificate/J5325dlpOBB3yl1YSF2u" TargetMode="External"/><Relationship Id="rId3137" Type="http://schemas.openxmlformats.org/officeDocument/2006/relationships/hyperlink" Target="https://talan.bank.gov.ua/get-user-certificate/J5325QtRKxqoEMw5jcc2" TargetMode="External"/><Relationship Id="rId3344" Type="http://schemas.openxmlformats.org/officeDocument/2006/relationships/hyperlink" Target="https://talan.bank.gov.ua/get-user-certificate/J5325F0RaRo5Ouo65Z9z" TargetMode="External"/><Relationship Id="rId3551" Type="http://schemas.openxmlformats.org/officeDocument/2006/relationships/hyperlink" Target="https://talan.bank.gov.ua/get-user-certificate/J5325aVlcfm-mRnc71JZ" TargetMode="External"/><Relationship Id="rId265" Type="http://schemas.openxmlformats.org/officeDocument/2006/relationships/hyperlink" Target="https://talan.bank.gov.ua/get-user-certificate/J5325jYR4GnIV7WyKiNz" TargetMode="External"/><Relationship Id="rId472" Type="http://schemas.openxmlformats.org/officeDocument/2006/relationships/hyperlink" Target="https://talan.bank.gov.ua/get-user-certificate/J5325UP6cEpVsq6gJvmn" TargetMode="External"/><Relationship Id="rId2153" Type="http://schemas.openxmlformats.org/officeDocument/2006/relationships/hyperlink" Target="https://talan.bank.gov.ua/get-user-certificate/J5325RVRt2ZqcksFhqYL" TargetMode="External"/><Relationship Id="rId2360" Type="http://schemas.openxmlformats.org/officeDocument/2006/relationships/hyperlink" Target="https://talan.bank.gov.ua/get-user-certificate/J5325IMayAmPS0C3D0Xi" TargetMode="External"/><Relationship Id="rId3204" Type="http://schemas.openxmlformats.org/officeDocument/2006/relationships/hyperlink" Target="https://talan.bank.gov.ua/get-user-certificate/J532553XNSXgh-9FLWhF" TargetMode="External"/><Relationship Id="rId3411" Type="http://schemas.openxmlformats.org/officeDocument/2006/relationships/hyperlink" Target="https://talan.bank.gov.ua/get-user-certificate/J5325451MqkvoSw_t39T" TargetMode="External"/><Relationship Id="rId125" Type="http://schemas.openxmlformats.org/officeDocument/2006/relationships/hyperlink" Target="https://talan.bank.gov.ua/get-user-certificate/J5325Ezt8ByLuDeVIvpG" TargetMode="External"/><Relationship Id="rId332" Type="http://schemas.openxmlformats.org/officeDocument/2006/relationships/hyperlink" Target="https://talan.bank.gov.ua/get-user-certificate/J5325OGNwMGUQjTDOtKd" TargetMode="External"/><Relationship Id="rId2013" Type="http://schemas.openxmlformats.org/officeDocument/2006/relationships/hyperlink" Target="https://talan.bank.gov.ua/get-user-certificate/J5325OAULueEFZ25DtLG" TargetMode="External"/><Relationship Id="rId2220" Type="http://schemas.openxmlformats.org/officeDocument/2006/relationships/hyperlink" Target="https://talan.bank.gov.ua/get-user-certificate/J5325qAIDMMiHi4g6M61" TargetMode="External"/><Relationship Id="rId4185" Type="http://schemas.openxmlformats.org/officeDocument/2006/relationships/hyperlink" Target="https://talan.bank.gov.ua/get-user-certificate/TbxZWkmi3b-_U0QR5a6L" TargetMode="External"/><Relationship Id="rId1779" Type="http://schemas.openxmlformats.org/officeDocument/2006/relationships/hyperlink" Target="https://talan.bank.gov.ua/get-user-certificate/J5325cofUBcMnCf6vDk8" TargetMode="External"/><Relationship Id="rId1986" Type="http://schemas.openxmlformats.org/officeDocument/2006/relationships/hyperlink" Target="https://talan.bank.gov.ua/get-user-certificate/J5325_vZBD1QCEhLJKYx" TargetMode="External"/><Relationship Id="rId4045" Type="http://schemas.openxmlformats.org/officeDocument/2006/relationships/hyperlink" Target="https://talan.bank.gov.ua/get-user-certificate/J5325fOZN_hT4r6mYhvn" TargetMode="External"/><Relationship Id="rId4252" Type="http://schemas.openxmlformats.org/officeDocument/2006/relationships/hyperlink" Target="https://talan.bank.gov.ua/get-user-certificate/CYWPHjZxuVn3d-cMZeW2" TargetMode="External"/><Relationship Id="rId1639" Type="http://schemas.openxmlformats.org/officeDocument/2006/relationships/hyperlink" Target="https://talan.bank.gov.ua/get-user-certificate/J53253zBhLZW0lq-FJU-" TargetMode="External"/><Relationship Id="rId1846" Type="http://schemas.openxmlformats.org/officeDocument/2006/relationships/hyperlink" Target="https://talan.bank.gov.ua/get-user-certificate/J53250So4Imulw2YGSyC" TargetMode="External"/><Relationship Id="rId3061" Type="http://schemas.openxmlformats.org/officeDocument/2006/relationships/hyperlink" Target="https://talan.bank.gov.ua/get-user-certificate/J5325WBYZLRGxl64fTWf" TargetMode="External"/><Relationship Id="rId1706" Type="http://schemas.openxmlformats.org/officeDocument/2006/relationships/hyperlink" Target="https://talan.bank.gov.ua/get-user-certificate/J5325t5eNxLhoz_cRfAW" TargetMode="External"/><Relationship Id="rId1913" Type="http://schemas.openxmlformats.org/officeDocument/2006/relationships/hyperlink" Target="https://talan.bank.gov.ua/get-user-certificate/J5325_0J5c0PlC_EQQFL" TargetMode="External"/><Relationship Id="rId4112" Type="http://schemas.openxmlformats.org/officeDocument/2006/relationships/hyperlink" Target="https://talan.bank.gov.ua/get-user-certificate/J5325u0HlwuA2oxOBLFc" TargetMode="External"/><Relationship Id="rId3878" Type="http://schemas.openxmlformats.org/officeDocument/2006/relationships/hyperlink" Target="https://talan.bank.gov.ua/get-user-certificate/J5325TN38c_tbthsZDUf" TargetMode="External"/><Relationship Id="rId799" Type="http://schemas.openxmlformats.org/officeDocument/2006/relationships/hyperlink" Target="https://talan.bank.gov.ua/get-user-certificate/J5325cbn3Swn7Wij8cJq" TargetMode="External"/><Relationship Id="rId2687" Type="http://schemas.openxmlformats.org/officeDocument/2006/relationships/hyperlink" Target="https://talan.bank.gov.ua/get-user-certificate/J5325y6550E_y0rFPif6" TargetMode="External"/><Relationship Id="rId2894" Type="http://schemas.openxmlformats.org/officeDocument/2006/relationships/hyperlink" Target="https://talan.bank.gov.ua/get-user-certificate/J5325T7F0VVCDe8IG9pS" TargetMode="External"/><Relationship Id="rId3738" Type="http://schemas.openxmlformats.org/officeDocument/2006/relationships/hyperlink" Target="https://talan.bank.gov.ua/get-user-certificate/J5325vuWT0gtLoh6SQ5t" TargetMode="External"/><Relationship Id="rId659" Type="http://schemas.openxmlformats.org/officeDocument/2006/relationships/hyperlink" Target="https://talan.bank.gov.ua/get-user-certificate/J5325-g2F8FB0qdqDi-5" TargetMode="External"/><Relationship Id="rId866" Type="http://schemas.openxmlformats.org/officeDocument/2006/relationships/hyperlink" Target="https://talan.bank.gov.ua/get-user-certificate/J5325qXs0UlWhfTomqTQ" TargetMode="External"/><Relationship Id="rId1289" Type="http://schemas.openxmlformats.org/officeDocument/2006/relationships/hyperlink" Target="https://talan.bank.gov.ua/get-user-certificate/J53252bN9-AgiDA6I8wN" TargetMode="External"/><Relationship Id="rId1496" Type="http://schemas.openxmlformats.org/officeDocument/2006/relationships/hyperlink" Target="https://talan.bank.gov.ua/get-user-certificate/J5325McHzqQFx0SWL1fL" TargetMode="External"/><Relationship Id="rId2547" Type="http://schemas.openxmlformats.org/officeDocument/2006/relationships/hyperlink" Target="https://talan.bank.gov.ua/get-user-certificate/J5325WWvg3zqQVz2pECH" TargetMode="External"/><Relationship Id="rId3945" Type="http://schemas.openxmlformats.org/officeDocument/2006/relationships/hyperlink" Target="https://talan.bank.gov.ua/get-user-certificate/J5325qbKtIVtzMu8SB1_" TargetMode="External"/><Relationship Id="rId519" Type="http://schemas.openxmlformats.org/officeDocument/2006/relationships/hyperlink" Target="https://talan.bank.gov.ua/get-user-certificate/J5325IPoNvZ-M5k6UZgz" TargetMode="External"/><Relationship Id="rId1149" Type="http://schemas.openxmlformats.org/officeDocument/2006/relationships/hyperlink" Target="https://talan.bank.gov.ua/get-user-certificate/J5325EDOk-TZUOGRCgIa" TargetMode="External"/><Relationship Id="rId1356" Type="http://schemas.openxmlformats.org/officeDocument/2006/relationships/hyperlink" Target="https://talan.bank.gov.ua/get-user-certificate/J53254Lllj0GEy4uOCv5" TargetMode="External"/><Relationship Id="rId2754" Type="http://schemas.openxmlformats.org/officeDocument/2006/relationships/hyperlink" Target="https://talan.bank.gov.ua/get-user-certificate/J53255YL5O_FownN1kAo" TargetMode="External"/><Relationship Id="rId2961" Type="http://schemas.openxmlformats.org/officeDocument/2006/relationships/hyperlink" Target="https://talan.bank.gov.ua/get-user-certificate/J5325y1ocuufW2ulK7RG" TargetMode="External"/><Relationship Id="rId3805" Type="http://schemas.openxmlformats.org/officeDocument/2006/relationships/hyperlink" Target="https://talan.bank.gov.ua/get-user-certificate/J5325WqbuTKSFneWCZln" TargetMode="External"/><Relationship Id="rId726" Type="http://schemas.openxmlformats.org/officeDocument/2006/relationships/hyperlink" Target="https://talan.bank.gov.ua/get-user-certificate/J5325zC2fy4hfIStmHy4" TargetMode="External"/><Relationship Id="rId933" Type="http://schemas.openxmlformats.org/officeDocument/2006/relationships/hyperlink" Target="https://talan.bank.gov.ua/get-user-certificate/J5325dlLpFtB5htva93O" TargetMode="External"/><Relationship Id="rId1009" Type="http://schemas.openxmlformats.org/officeDocument/2006/relationships/hyperlink" Target="https://talan.bank.gov.ua/get-user-certificate/J5325gpYMgld2ciaAiyK" TargetMode="External"/><Relationship Id="rId1563" Type="http://schemas.openxmlformats.org/officeDocument/2006/relationships/hyperlink" Target="https://talan.bank.gov.ua/get-user-certificate/J5325-z1d6AXc-juHRyD" TargetMode="External"/><Relationship Id="rId1770" Type="http://schemas.openxmlformats.org/officeDocument/2006/relationships/hyperlink" Target="https://talan.bank.gov.ua/get-user-certificate/J53255NpMCEFavrl2Q2T" TargetMode="External"/><Relationship Id="rId2407" Type="http://schemas.openxmlformats.org/officeDocument/2006/relationships/hyperlink" Target="https://talan.bank.gov.ua/get-user-certificate/J5325lFLmYqFmC084jPy" TargetMode="External"/><Relationship Id="rId2614" Type="http://schemas.openxmlformats.org/officeDocument/2006/relationships/hyperlink" Target="https://talan.bank.gov.ua/get-user-certificate/J5325KOs-SpEw_Xluqie" TargetMode="External"/><Relationship Id="rId2821" Type="http://schemas.openxmlformats.org/officeDocument/2006/relationships/hyperlink" Target="https://talan.bank.gov.ua/get-user-certificate/J5325EjDXdA_n6r9qxWm" TargetMode="External"/><Relationship Id="rId62" Type="http://schemas.openxmlformats.org/officeDocument/2006/relationships/hyperlink" Target="https://talan.bank.gov.ua/get-user-certificate/J53251OXYKUkEMMFoep6" TargetMode="External"/><Relationship Id="rId1216" Type="http://schemas.openxmlformats.org/officeDocument/2006/relationships/hyperlink" Target="https://talan.bank.gov.ua/get-user-certificate/J5325rGIx6m-fPkC-oMj" TargetMode="External"/><Relationship Id="rId1423" Type="http://schemas.openxmlformats.org/officeDocument/2006/relationships/hyperlink" Target="https://talan.bank.gov.ua/get-user-certificate/J5325X0zwf-RteZQE9LS" TargetMode="External"/><Relationship Id="rId1630" Type="http://schemas.openxmlformats.org/officeDocument/2006/relationships/hyperlink" Target="https://talan.bank.gov.ua/get-user-certificate/J5325rodspXICSsIF6IO" TargetMode="External"/><Relationship Id="rId3388" Type="http://schemas.openxmlformats.org/officeDocument/2006/relationships/hyperlink" Target="https://talan.bank.gov.ua/get-user-certificate/J5325kBBv0f1ah9Korcn" TargetMode="External"/><Relationship Id="rId3595" Type="http://schemas.openxmlformats.org/officeDocument/2006/relationships/hyperlink" Target="https://talan.bank.gov.ua/get-user-certificate/J5325zknaJfHSNh4Eq6B" TargetMode="External"/><Relationship Id="rId2197" Type="http://schemas.openxmlformats.org/officeDocument/2006/relationships/hyperlink" Target="https://talan.bank.gov.ua/get-user-certificate/J5325HHvCpjbYPO0tU4n" TargetMode="External"/><Relationship Id="rId3248" Type="http://schemas.openxmlformats.org/officeDocument/2006/relationships/hyperlink" Target="https://talan.bank.gov.ua/get-user-certificate/J5325bvHyLMiMp5-Wb65" TargetMode="External"/><Relationship Id="rId3455" Type="http://schemas.openxmlformats.org/officeDocument/2006/relationships/hyperlink" Target="https://talan.bank.gov.ua/get-user-certificate/J53252qkQeWroun31vh4" TargetMode="External"/><Relationship Id="rId3662" Type="http://schemas.openxmlformats.org/officeDocument/2006/relationships/hyperlink" Target="https://talan.bank.gov.ua/get-user-certificate/J5325OLzzabDU2GDC6gi" TargetMode="External"/><Relationship Id="rId169" Type="http://schemas.openxmlformats.org/officeDocument/2006/relationships/hyperlink" Target="https://talan.bank.gov.ua/get-user-certificate/J532586fjNhtQ5axjh_y" TargetMode="External"/><Relationship Id="rId376" Type="http://schemas.openxmlformats.org/officeDocument/2006/relationships/hyperlink" Target="https://talan.bank.gov.ua/get-user-certificate/J5325sIR7v01zwVA0w0f" TargetMode="External"/><Relationship Id="rId583" Type="http://schemas.openxmlformats.org/officeDocument/2006/relationships/hyperlink" Target="https://talan.bank.gov.ua/get-user-certificate/J5325FaH43F1VOPi12Kt" TargetMode="External"/><Relationship Id="rId790" Type="http://schemas.openxmlformats.org/officeDocument/2006/relationships/hyperlink" Target="https://talan.bank.gov.ua/get-user-certificate/J532587p-mXWX9JEaAJu" TargetMode="External"/><Relationship Id="rId2057" Type="http://schemas.openxmlformats.org/officeDocument/2006/relationships/hyperlink" Target="https://talan.bank.gov.ua/get-user-certificate/J53254AQWgj4qgPbtANr" TargetMode="External"/><Relationship Id="rId2264" Type="http://schemas.openxmlformats.org/officeDocument/2006/relationships/hyperlink" Target="https://talan.bank.gov.ua/get-user-certificate/J5325RlHCdqYZXJUoHYw" TargetMode="External"/><Relationship Id="rId2471" Type="http://schemas.openxmlformats.org/officeDocument/2006/relationships/hyperlink" Target="https://talan.bank.gov.ua/get-user-certificate/J5325fpeC03KAlp9Rmnw" TargetMode="External"/><Relationship Id="rId3108" Type="http://schemas.openxmlformats.org/officeDocument/2006/relationships/hyperlink" Target="https://talan.bank.gov.ua/get-user-certificate/J5325AVr9YoFR_DgXp0q" TargetMode="External"/><Relationship Id="rId3315" Type="http://schemas.openxmlformats.org/officeDocument/2006/relationships/hyperlink" Target="https://talan.bank.gov.ua/get-user-certificate/J5325u1gLpwBq9sL8-9Y" TargetMode="External"/><Relationship Id="rId3522" Type="http://schemas.openxmlformats.org/officeDocument/2006/relationships/hyperlink" Target="https://talan.bank.gov.ua/get-user-certificate/J53258WUyZSAmvIWFRAj" TargetMode="External"/><Relationship Id="rId236" Type="http://schemas.openxmlformats.org/officeDocument/2006/relationships/hyperlink" Target="https://talan.bank.gov.ua/get-user-certificate/J5325GtBSc39T-9lgQbl" TargetMode="External"/><Relationship Id="rId443" Type="http://schemas.openxmlformats.org/officeDocument/2006/relationships/hyperlink" Target="https://talan.bank.gov.ua/get-user-certificate/J5325as4R9v2Wig-j0Il" TargetMode="External"/><Relationship Id="rId650" Type="http://schemas.openxmlformats.org/officeDocument/2006/relationships/hyperlink" Target="https://talan.bank.gov.ua/get-user-certificate/J5325_X4r-Yiq92oxEZN" TargetMode="External"/><Relationship Id="rId1073" Type="http://schemas.openxmlformats.org/officeDocument/2006/relationships/hyperlink" Target="https://talan.bank.gov.ua/get-user-certificate/J5325lENocOgEmOJ6rSP" TargetMode="External"/><Relationship Id="rId1280" Type="http://schemas.openxmlformats.org/officeDocument/2006/relationships/hyperlink" Target="https://talan.bank.gov.ua/get-user-certificate/J5325dr_s0eqD0EvS4HN" TargetMode="External"/><Relationship Id="rId2124" Type="http://schemas.openxmlformats.org/officeDocument/2006/relationships/hyperlink" Target="https://talan.bank.gov.ua/get-user-certificate/J5325zciWSPKPsSY3lYz" TargetMode="External"/><Relationship Id="rId2331" Type="http://schemas.openxmlformats.org/officeDocument/2006/relationships/hyperlink" Target="https://talan.bank.gov.ua/get-user-certificate/J53253muAk-rDzEukaua" TargetMode="External"/><Relationship Id="rId303" Type="http://schemas.openxmlformats.org/officeDocument/2006/relationships/hyperlink" Target="https://talan.bank.gov.ua/get-user-certificate/J5325l6WAVuM3uvI6jSg" TargetMode="External"/><Relationship Id="rId1140" Type="http://schemas.openxmlformats.org/officeDocument/2006/relationships/hyperlink" Target="https://talan.bank.gov.ua/get-user-certificate/J5325s8NOSX9BDT_ruG5" TargetMode="External"/><Relationship Id="rId4089" Type="http://schemas.openxmlformats.org/officeDocument/2006/relationships/hyperlink" Target="https://talan.bank.gov.ua/get-user-certificate/J5325iZoxiNlhA_Wde75" TargetMode="External"/><Relationship Id="rId510" Type="http://schemas.openxmlformats.org/officeDocument/2006/relationships/hyperlink" Target="https://talan.bank.gov.ua/get-user-certificate/J5325F70PInYNLA-a-AC" TargetMode="External"/><Relationship Id="rId1000" Type="http://schemas.openxmlformats.org/officeDocument/2006/relationships/hyperlink" Target="https://talan.bank.gov.ua/get-user-certificate/J5325VE2zxFfCdO8_ZHJ" TargetMode="External"/><Relationship Id="rId1957" Type="http://schemas.openxmlformats.org/officeDocument/2006/relationships/hyperlink" Target="https://talan.bank.gov.ua/get-user-certificate/J5325slhsyTW_TSI8tZE" TargetMode="External"/><Relationship Id="rId4156" Type="http://schemas.openxmlformats.org/officeDocument/2006/relationships/hyperlink" Target="https://talan.bank.gov.ua/get-user-certificate/J5325kLxAX-btg1kB7PW" TargetMode="External"/><Relationship Id="rId1817" Type="http://schemas.openxmlformats.org/officeDocument/2006/relationships/hyperlink" Target="https://talan.bank.gov.ua/get-user-certificate/J5325frdEukGzTYqKx3a" TargetMode="External"/><Relationship Id="rId3172" Type="http://schemas.openxmlformats.org/officeDocument/2006/relationships/hyperlink" Target="https://talan.bank.gov.ua/get-user-certificate/J5325SbHhSbYi0WbrZcO" TargetMode="External"/><Relationship Id="rId4016" Type="http://schemas.openxmlformats.org/officeDocument/2006/relationships/hyperlink" Target="https://talan.bank.gov.ua/get-user-certificate/J5325EeOVUUxBRrWf7np" TargetMode="External"/><Relationship Id="rId4223" Type="http://schemas.openxmlformats.org/officeDocument/2006/relationships/hyperlink" Target="https://talan.bank.gov.ua/get-user-certificate/CYWPH__dhrxhaEWhoPVw" TargetMode="External"/><Relationship Id="rId3032" Type="http://schemas.openxmlformats.org/officeDocument/2006/relationships/hyperlink" Target="https://talan.bank.gov.ua/get-user-certificate/J5325jiHDmps_5-w0L8j" TargetMode="External"/><Relationship Id="rId160" Type="http://schemas.openxmlformats.org/officeDocument/2006/relationships/hyperlink" Target="https://talan.bank.gov.ua/get-user-certificate/J5325Ead5dEMasPO3hMJ" TargetMode="External"/><Relationship Id="rId3989" Type="http://schemas.openxmlformats.org/officeDocument/2006/relationships/hyperlink" Target="https://talan.bank.gov.ua/get-user-certificate/J5325LtKfApzokWvtsHh" TargetMode="External"/><Relationship Id="rId2798" Type="http://schemas.openxmlformats.org/officeDocument/2006/relationships/hyperlink" Target="https://talan.bank.gov.ua/get-user-certificate/J5325XsLk8cKR7rjCGfy" TargetMode="External"/><Relationship Id="rId3849" Type="http://schemas.openxmlformats.org/officeDocument/2006/relationships/hyperlink" Target="https://talan.bank.gov.ua/get-user-certificate/J5325IzBU1K8jEpUXxM2" TargetMode="External"/><Relationship Id="rId977" Type="http://schemas.openxmlformats.org/officeDocument/2006/relationships/hyperlink" Target="https://talan.bank.gov.ua/get-user-certificate/J5325YxoCHQtimuvSBes" TargetMode="External"/><Relationship Id="rId2658" Type="http://schemas.openxmlformats.org/officeDocument/2006/relationships/hyperlink" Target="https://talan.bank.gov.ua/get-user-certificate/J5325U1rVYEEso-1f5WK" TargetMode="External"/><Relationship Id="rId2865" Type="http://schemas.openxmlformats.org/officeDocument/2006/relationships/hyperlink" Target="https://talan.bank.gov.ua/get-user-certificate/J5325fcWtd_WpOF5iA6N" TargetMode="External"/><Relationship Id="rId3709" Type="http://schemas.openxmlformats.org/officeDocument/2006/relationships/hyperlink" Target="https://talan.bank.gov.ua/get-user-certificate/J5325MOAQsxmFMWUYoPg" TargetMode="External"/><Relationship Id="rId3916" Type="http://schemas.openxmlformats.org/officeDocument/2006/relationships/hyperlink" Target="https://talan.bank.gov.ua/get-user-certificate/J5325NFIZC5jGzAoy5zY" TargetMode="External"/><Relationship Id="rId4080" Type="http://schemas.openxmlformats.org/officeDocument/2006/relationships/hyperlink" Target="https://talan.bank.gov.ua/get-user-certificate/J5325nQmVEEEkytNQfGs" TargetMode="External"/><Relationship Id="rId837" Type="http://schemas.openxmlformats.org/officeDocument/2006/relationships/hyperlink" Target="https://talan.bank.gov.ua/get-user-certificate/J5325GLj2ogoooalo-Xr" TargetMode="External"/><Relationship Id="rId1467" Type="http://schemas.openxmlformats.org/officeDocument/2006/relationships/hyperlink" Target="https://talan.bank.gov.ua/get-user-certificate/J5325arrB6rLYyWH3WK3" TargetMode="External"/><Relationship Id="rId1674" Type="http://schemas.openxmlformats.org/officeDocument/2006/relationships/hyperlink" Target="https://talan.bank.gov.ua/get-user-certificate/J5325PrzAkMvNHYgCqdC" TargetMode="External"/><Relationship Id="rId1881" Type="http://schemas.openxmlformats.org/officeDocument/2006/relationships/hyperlink" Target="https://talan.bank.gov.ua/get-user-certificate/J5325UzBI5U7RZG3xpmE" TargetMode="External"/><Relationship Id="rId2518" Type="http://schemas.openxmlformats.org/officeDocument/2006/relationships/hyperlink" Target="https://talan.bank.gov.ua/get-user-certificate/J5325Cufn-OTPoh55Jkb" TargetMode="External"/><Relationship Id="rId2725" Type="http://schemas.openxmlformats.org/officeDocument/2006/relationships/hyperlink" Target="https://talan.bank.gov.ua/get-user-certificate/J53256MXNg3S3_l2hqoj" TargetMode="External"/><Relationship Id="rId2932" Type="http://schemas.openxmlformats.org/officeDocument/2006/relationships/hyperlink" Target="https://talan.bank.gov.ua/get-user-certificate/J5325VHbTigl0ZvNu8sz" TargetMode="External"/><Relationship Id="rId904" Type="http://schemas.openxmlformats.org/officeDocument/2006/relationships/hyperlink" Target="https://talan.bank.gov.ua/get-user-certificate/J5325v_J8pslVHK3A1yZ" TargetMode="External"/><Relationship Id="rId1327" Type="http://schemas.openxmlformats.org/officeDocument/2006/relationships/hyperlink" Target="https://talan.bank.gov.ua/get-user-certificate/J5325vDv-MH3G7SrFf-V" TargetMode="External"/><Relationship Id="rId1534" Type="http://schemas.openxmlformats.org/officeDocument/2006/relationships/hyperlink" Target="https://talan.bank.gov.ua/get-user-certificate/J5325BlWvoxUqfg0d2Zx" TargetMode="External"/><Relationship Id="rId1741" Type="http://schemas.openxmlformats.org/officeDocument/2006/relationships/hyperlink" Target="https://talan.bank.gov.ua/get-user-certificate/J5325khTMhkzXVwWVw9Q" TargetMode="External"/><Relationship Id="rId33" Type="http://schemas.openxmlformats.org/officeDocument/2006/relationships/hyperlink" Target="https://talan.bank.gov.ua/get-user-certificate/J5325U8wq-bNDrUJJqTa" TargetMode="External"/><Relationship Id="rId1601" Type="http://schemas.openxmlformats.org/officeDocument/2006/relationships/hyperlink" Target="https://talan.bank.gov.ua/get-user-certificate/J5325fDjtuwMoyOPA9rf" TargetMode="External"/><Relationship Id="rId3499" Type="http://schemas.openxmlformats.org/officeDocument/2006/relationships/hyperlink" Target="https://talan.bank.gov.ua/get-user-certificate/J5325UVeDd3Q0C8Ubiqi" TargetMode="External"/><Relationship Id="rId3359" Type="http://schemas.openxmlformats.org/officeDocument/2006/relationships/hyperlink" Target="https://talan.bank.gov.ua/get-user-certificate/J5325u5AJXk4pt3s4gQB" TargetMode="External"/><Relationship Id="rId3566" Type="http://schemas.openxmlformats.org/officeDocument/2006/relationships/hyperlink" Target="https://talan.bank.gov.ua/get-user-certificate/J53259h7iLxq7tPLD-zr" TargetMode="External"/><Relationship Id="rId487" Type="http://schemas.openxmlformats.org/officeDocument/2006/relationships/hyperlink" Target="https://talan.bank.gov.ua/get-user-certificate/J5325RYyvsHT7_kE3YWX" TargetMode="External"/><Relationship Id="rId694" Type="http://schemas.openxmlformats.org/officeDocument/2006/relationships/hyperlink" Target="https://talan.bank.gov.ua/get-user-certificate/J5325Lp3KV2rIawsunUr" TargetMode="External"/><Relationship Id="rId2168" Type="http://schemas.openxmlformats.org/officeDocument/2006/relationships/hyperlink" Target="https://talan.bank.gov.ua/get-user-certificate/J5325pnG_FqA7A9HA97m" TargetMode="External"/><Relationship Id="rId2375" Type="http://schemas.openxmlformats.org/officeDocument/2006/relationships/hyperlink" Target="https://talan.bank.gov.ua/get-user-certificate/J5325kAecO0Zn2EN-tRN" TargetMode="External"/><Relationship Id="rId3219" Type="http://schemas.openxmlformats.org/officeDocument/2006/relationships/hyperlink" Target="https://talan.bank.gov.ua/get-user-certificate/J5325iLa0nYhL32azpHB" TargetMode="External"/><Relationship Id="rId3773" Type="http://schemas.openxmlformats.org/officeDocument/2006/relationships/hyperlink" Target="https://talan.bank.gov.ua/get-user-certificate/J5325ahtUGmxoplDQ7FC" TargetMode="External"/><Relationship Id="rId3980" Type="http://schemas.openxmlformats.org/officeDocument/2006/relationships/hyperlink" Target="https://talan.bank.gov.ua/get-user-certificate/J5325ZE_HRZSHxMFn0-E" TargetMode="External"/><Relationship Id="rId347" Type="http://schemas.openxmlformats.org/officeDocument/2006/relationships/hyperlink" Target="https://talan.bank.gov.ua/get-user-certificate/J5325rqyfKSVNagZnMsu" TargetMode="External"/><Relationship Id="rId1184" Type="http://schemas.openxmlformats.org/officeDocument/2006/relationships/hyperlink" Target="https://talan.bank.gov.ua/get-user-certificate/J5325cufamWStXhbz3Vy" TargetMode="External"/><Relationship Id="rId2028" Type="http://schemas.openxmlformats.org/officeDocument/2006/relationships/hyperlink" Target="https://talan.bank.gov.ua/get-user-certificate/J5325YF4iJ_HvCb15c3O" TargetMode="External"/><Relationship Id="rId2582" Type="http://schemas.openxmlformats.org/officeDocument/2006/relationships/hyperlink" Target="https://talan.bank.gov.ua/get-user-certificate/J53254TqTZW5vNGa5Zyt" TargetMode="External"/><Relationship Id="rId3426" Type="http://schemas.openxmlformats.org/officeDocument/2006/relationships/hyperlink" Target="https://talan.bank.gov.ua/get-user-certificate/J5325c9wJm-LycR9d_vB" TargetMode="External"/><Relationship Id="rId3633" Type="http://schemas.openxmlformats.org/officeDocument/2006/relationships/hyperlink" Target="https://talan.bank.gov.ua/get-user-certificate/J5325n6_Rtiln1RCH7XV" TargetMode="External"/><Relationship Id="rId3840" Type="http://schemas.openxmlformats.org/officeDocument/2006/relationships/hyperlink" Target="https://talan.bank.gov.ua/get-user-certificate/J5325YaARB76hYHRsori" TargetMode="External"/><Relationship Id="rId554" Type="http://schemas.openxmlformats.org/officeDocument/2006/relationships/hyperlink" Target="https://talan.bank.gov.ua/get-user-certificate/J5325uG_lJeO9Zm3Xzjf" TargetMode="External"/><Relationship Id="rId761" Type="http://schemas.openxmlformats.org/officeDocument/2006/relationships/hyperlink" Target="https://talan.bank.gov.ua/get-user-certificate/J5325TJO9Jl_tswAvsJf" TargetMode="External"/><Relationship Id="rId1391" Type="http://schemas.openxmlformats.org/officeDocument/2006/relationships/hyperlink" Target="https://talan.bank.gov.ua/get-user-certificate/J5325MqWuaPSNFY1ZF-0" TargetMode="External"/><Relationship Id="rId2235" Type="http://schemas.openxmlformats.org/officeDocument/2006/relationships/hyperlink" Target="https://talan.bank.gov.ua/get-user-certificate/J5325B8h1My9EQSoArAy" TargetMode="External"/><Relationship Id="rId2442" Type="http://schemas.openxmlformats.org/officeDocument/2006/relationships/hyperlink" Target="https://talan.bank.gov.ua/get-user-certificate/J5325D9nqvfGyrVVpYmO" TargetMode="External"/><Relationship Id="rId3700" Type="http://schemas.openxmlformats.org/officeDocument/2006/relationships/hyperlink" Target="https://talan.bank.gov.ua/get-user-certificate/J5325ZaMxu0LVoCHKBZS" TargetMode="External"/><Relationship Id="rId207" Type="http://schemas.openxmlformats.org/officeDocument/2006/relationships/hyperlink" Target="https://talan.bank.gov.ua/get-user-certificate/J5325v9GPdm3BiNqCUJI" TargetMode="External"/><Relationship Id="rId414" Type="http://schemas.openxmlformats.org/officeDocument/2006/relationships/hyperlink" Target="https://talan.bank.gov.ua/get-user-certificate/J5325XN3KTsLlNTvuBKG" TargetMode="External"/><Relationship Id="rId621" Type="http://schemas.openxmlformats.org/officeDocument/2006/relationships/hyperlink" Target="https://talan.bank.gov.ua/get-user-certificate/J5325_WIxqW4dQbYGBQ4" TargetMode="External"/><Relationship Id="rId1044" Type="http://schemas.openxmlformats.org/officeDocument/2006/relationships/hyperlink" Target="https://talan.bank.gov.ua/get-user-certificate/J5325hWLQmjg7ai9slZz" TargetMode="External"/><Relationship Id="rId1251" Type="http://schemas.openxmlformats.org/officeDocument/2006/relationships/hyperlink" Target="https://talan.bank.gov.ua/get-user-certificate/J5325JriF_-xZfyffyAD" TargetMode="External"/><Relationship Id="rId2302" Type="http://schemas.openxmlformats.org/officeDocument/2006/relationships/hyperlink" Target="https://talan.bank.gov.ua/get-user-certificate/J532555FSnaM_HSGWyvb" TargetMode="External"/><Relationship Id="rId1111" Type="http://schemas.openxmlformats.org/officeDocument/2006/relationships/hyperlink" Target="https://talan.bank.gov.ua/get-user-certificate/J5325z-TjDhAmGsFiXEg" TargetMode="External"/><Relationship Id="rId3076" Type="http://schemas.openxmlformats.org/officeDocument/2006/relationships/hyperlink" Target="https://talan.bank.gov.ua/get-user-certificate/J5325fIcyXGUfsP6ScWZ" TargetMode="External"/><Relationship Id="rId3283" Type="http://schemas.openxmlformats.org/officeDocument/2006/relationships/hyperlink" Target="https://talan.bank.gov.ua/get-user-certificate/J5325Hg5LcjIP_Z5gwY7" TargetMode="External"/><Relationship Id="rId3490" Type="http://schemas.openxmlformats.org/officeDocument/2006/relationships/hyperlink" Target="https://talan.bank.gov.ua/get-user-certificate/J5325P8cnfZpGJHwH48b" TargetMode="External"/><Relationship Id="rId4127" Type="http://schemas.openxmlformats.org/officeDocument/2006/relationships/hyperlink" Target="https://talan.bank.gov.ua/get-user-certificate/J5325jEEeuuv-R1epvnG" TargetMode="External"/><Relationship Id="rId1928" Type="http://schemas.openxmlformats.org/officeDocument/2006/relationships/hyperlink" Target="https://talan.bank.gov.ua/get-user-certificate/J532501WJqGRC7ujPG7G" TargetMode="External"/><Relationship Id="rId2092" Type="http://schemas.openxmlformats.org/officeDocument/2006/relationships/hyperlink" Target="https://talan.bank.gov.ua/get-user-certificate/J5325pLM-my_sCBiovPq" TargetMode="External"/><Relationship Id="rId3143" Type="http://schemas.openxmlformats.org/officeDocument/2006/relationships/hyperlink" Target="https://talan.bank.gov.ua/get-user-certificate/J5325s2SE9PEbycgR5_J" TargetMode="External"/><Relationship Id="rId3350" Type="http://schemas.openxmlformats.org/officeDocument/2006/relationships/hyperlink" Target="https://talan.bank.gov.ua/get-user-certificate/J5325gpf9VQH-D0A-JHH" TargetMode="External"/><Relationship Id="rId271" Type="http://schemas.openxmlformats.org/officeDocument/2006/relationships/hyperlink" Target="https://talan.bank.gov.ua/get-user-certificate/J5325r5AVK-BNc9iJ0mT" TargetMode="External"/><Relationship Id="rId3003" Type="http://schemas.openxmlformats.org/officeDocument/2006/relationships/hyperlink" Target="https://talan.bank.gov.ua/get-user-certificate/J53251tPfz5fwaMNPNX5" TargetMode="External"/><Relationship Id="rId131" Type="http://schemas.openxmlformats.org/officeDocument/2006/relationships/hyperlink" Target="https://talan.bank.gov.ua/get-user-certificate/J5325dJujd6FOevtWMQN" TargetMode="External"/><Relationship Id="rId3210" Type="http://schemas.openxmlformats.org/officeDocument/2006/relationships/hyperlink" Target="https://talan.bank.gov.ua/get-user-certificate/J5325_4imQWeArQyUfOj" TargetMode="External"/><Relationship Id="rId2769" Type="http://schemas.openxmlformats.org/officeDocument/2006/relationships/hyperlink" Target="https://talan.bank.gov.ua/get-user-certificate/J53258f4T4rFc7ZaPbhA" TargetMode="External"/><Relationship Id="rId2976" Type="http://schemas.openxmlformats.org/officeDocument/2006/relationships/hyperlink" Target="https://talan.bank.gov.ua/get-user-certificate/J53259NC3jKkAW4gz6wV" TargetMode="External"/><Relationship Id="rId948" Type="http://schemas.openxmlformats.org/officeDocument/2006/relationships/hyperlink" Target="https://talan.bank.gov.ua/get-user-certificate/J5325nNCLJVfLhaMqVuD" TargetMode="External"/><Relationship Id="rId1578" Type="http://schemas.openxmlformats.org/officeDocument/2006/relationships/hyperlink" Target="https://talan.bank.gov.ua/get-user-certificate/J5325vo-Ud_PYa7q1NnZ" TargetMode="External"/><Relationship Id="rId1785" Type="http://schemas.openxmlformats.org/officeDocument/2006/relationships/hyperlink" Target="https://talan.bank.gov.ua/get-user-certificate/J5325baX3_XZliz4cG6x" TargetMode="External"/><Relationship Id="rId1992" Type="http://schemas.openxmlformats.org/officeDocument/2006/relationships/hyperlink" Target="https://talan.bank.gov.ua/get-user-certificate/J5325DKkBIZPLHugNErc" TargetMode="External"/><Relationship Id="rId2629" Type="http://schemas.openxmlformats.org/officeDocument/2006/relationships/hyperlink" Target="https://talan.bank.gov.ua/get-user-certificate/J5325Ec_E2Tev-6qEPk0" TargetMode="External"/><Relationship Id="rId2836" Type="http://schemas.openxmlformats.org/officeDocument/2006/relationships/hyperlink" Target="https://talan.bank.gov.ua/get-user-certificate/J5325aQBMnVj_A1fvPkA" TargetMode="External"/><Relationship Id="rId4191" Type="http://schemas.openxmlformats.org/officeDocument/2006/relationships/hyperlink" Target="https://talan.bank.gov.ua/get-user-certificate/TbxZW1ibAy3yUq19Fwp7" TargetMode="External"/><Relationship Id="rId77" Type="http://schemas.openxmlformats.org/officeDocument/2006/relationships/hyperlink" Target="https://talan.bank.gov.ua/get-user-certificate/J5325NV7F_maTb91QtP8" TargetMode="External"/><Relationship Id="rId808" Type="http://schemas.openxmlformats.org/officeDocument/2006/relationships/hyperlink" Target="https://talan.bank.gov.ua/get-user-certificate/J5325sVg4cwwxntAq-i6" TargetMode="External"/><Relationship Id="rId1438" Type="http://schemas.openxmlformats.org/officeDocument/2006/relationships/hyperlink" Target="https://talan.bank.gov.ua/get-user-certificate/J5325qI0TBDGdufCwVLk" TargetMode="External"/><Relationship Id="rId1645" Type="http://schemas.openxmlformats.org/officeDocument/2006/relationships/hyperlink" Target="https://talan.bank.gov.ua/get-user-certificate/J532520M_osa3shwN4xS" TargetMode="External"/><Relationship Id="rId4051" Type="http://schemas.openxmlformats.org/officeDocument/2006/relationships/hyperlink" Target="https://talan.bank.gov.ua/get-user-certificate/J5325FoK3ObbealiYSIH" TargetMode="External"/><Relationship Id="rId1852" Type="http://schemas.openxmlformats.org/officeDocument/2006/relationships/hyperlink" Target="https://talan.bank.gov.ua/get-user-certificate/J5325SzMQIdFdEit4Z6X" TargetMode="External"/><Relationship Id="rId2903" Type="http://schemas.openxmlformats.org/officeDocument/2006/relationships/hyperlink" Target="https://talan.bank.gov.ua/get-user-certificate/J5325--oyi0jgaC9FPGP" TargetMode="External"/><Relationship Id="rId1505" Type="http://schemas.openxmlformats.org/officeDocument/2006/relationships/hyperlink" Target="https://talan.bank.gov.ua/get-user-certificate/J5325TaYy634ybYmAJ_k" TargetMode="External"/><Relationship Id="rId1712" Type="http://schemas.openxmlformats.org/officeDocument/2006/relationships/hyperlink" Target="https://talan.bank.gov.ua/get-user-certificate/J5325l9zPsQOZyt5lmws" TargetMode="External"/><Relationship Id="rId3677" Type="http://schemas.openxmlformats.org/officeDocument/2006/relationships/hyperlink" Target="https://talan.bank.gov.ua/get-user-certificate/J5325LRcpca-S4yOjJ7H" TargetMode="External"/><Relationship Id="rId3884" Type="http://schemas.openxmlformats.org/officeDocument/2006/relationships/hyperlink" Target="https://talan.bank.gov.ua/get-user-certificate/J5325Y7omPpYA9H_geKV" TargetMode="External"/><Relationship Id="rId598" Type="http://schemas.openxmlformats.org/officeDocument/2006/relationships/hyperlink" Target="https://talan.bank.gov.ua/get-user-certificate/J5325p-2CvuLcL4sWTOL" TargetMode="External"/><Relationship Id="rId2279" Type="http://schemas.openxmlformats.org/officeDocument/2006/relationships/hyperlink" Target="https://talan.bank.gov.ua/get-user-certificate/J5325K1xu87dVu9LfJyV" TargetMode="External"/><Relationship Id="rId2486" Type="http://schemas.openxmlformats.org/officeDocument/2006/relationships/hyperlink" Target="https://talan.bank.gov.ua/get-user-certificate/J5325RF00zgMbqH-9-_7" TargetMode="External"/><Relationship Id="rId2693" Type="http://schemas.openxmlformats.org/officeDocument/2006/relationships/hyperlink" Target="https://talan.bank.gov.ua/get-user-certificate/J53251skJ5YrBE8kxP9e" TargetMode="External"/><Relationship Id="rId3537" Type="http://schemas.openxmlformats.org/officeDocument/2006/relationships/hyperlink" Target="https://talan.bank.gov.ua/get-user-certificate/J5325cch0eGIpyTDEaAr" TargetMode="External"/><Relationship Id="rId3744" Type="http://schemas.openxmlformats.org/officeDocument/2006/relationships/hyperlink" Target="https://talan.bank.gov.ua/get-user-certificate/J5325eAi3vZ_Y3tTo2Rb" TargetMode="External"/><Relationship Id="rId3951" Type="http://schemas.openxmlformats.org/officeDocument/2006/relationships/hyperlink" Target="https://talan.bank.gov.ua/get-user-certificate/J5325srMs_0nAs-xkTFW" TargetMode="External"/><Relationship Id="rId458" Type="http://schemas.openxmlformats.org/officeDocument/2006/relationships/hyperlink" Target="https://talan.bank.gov.ua/get-user-certificate/J53251XPsO8CkNmN9Vuz" TargetMode="External"/><Relationship Id="rId665" Type="http://schemas.openxmlformats.org/officeDocument/2006/relationships/hyperlink" Target="https://talan.bank.gov.ua/get-user-certificate/J5325WE4FnC_xU5B6iC4" TargetMode="External"/><Relationship Id="rId872" Type="http://schemas.openxmlformats.org/officeDocument/2006/relationships/hyperlink" Target="https://talan.bank.gov.ua/get-user-certificate/J5325MXs357JpqQDdxCj" TargetMode="External"/><Relationship Id="rId1088" Type="http://schemas.openxmlformats.org/officeDocument/2006/relationships/hyperlink" Target="https://talan.bank.gov.ua/get-user-certificate/J5325pOHvI2sQEmCnoF_" TargetMode="External"/><Relationship Id="rId1295" Type="http://schemas.openxmlformats.org/officeDocument/2006/relationships/hyperlink" Target="https://talan.bank.gov.ua/get-user-certificate/J53256VHjVpHQl3oVYHr" TargetMode="External"/><Relationship Id="rId2139" Type="http://schemas.openxmlformats.org/officeDocument/2006/relationships/hyperlink" Target="https://talan.bank.gov.ua/get-user-certificate/J5325fbYoV4RxjwNbG3p" TargetMode="External"/><Relationship Id="rId2346" Type="http://schemas.openxmlformats.org/officeDocument/2006/relationships/hyperlink" Target="https://talan.bank.gov.ua/get-user-certificate/J5325Eb5yKW0xCDo19dD" TargetMode="External"/><Relationship Id="rId2553" Type="http://schemas.openxmlformats.org/officeDocument/2006/relationships/hyperlink" Target="https://talan.bank.gov.ua/get-user-certificate/J5325M9zmDB4nyKFaFQt" TargetMode="External"/><Relationship Id="rId2760" Type="http://schemas.openxmlformats.org/officeDocument/2006/relationships/hyperlink" Target="https://talan.bank.gov.ua/get-user-certificate/J5325nDuXXH91B0lVeaw" TargetMode="External"/><Relationship Id="rId3604" Type="http://schemas.openxmlformats.org/officeDocument/2006/relationships/hyperlink" Target="https://talan.bank.gov.ua/get-user-certificate/J5325c9fFUE1XfbjLV9Y" TargetMode="External"/><Relationship Id="rId3811" Type="http://schemas.openxmlformats.org/officeDocument/2006/relationships/hyperlink" Target="https://talan.bank.gov.ua/get-user-certificate/J5325eiTTIRCFvwCPslg" TargetMode="External"/><Relationship Id="rId318" Type="http://schemas.openxmlformats.org/officeDocument/2006/relationships/hyperlink" Target="https://talan.bank.gov.ua/get-user-certificate/J5325yfaZUyecDLE6Fy_" TargetMode="External"/><Relationship Id="rId525" Type="http://schemas.openxmlformats.org/officeDocument/2006/relationships/hyperlink" Target="https://talan.bank.gov.ua/get-user-certificate/J5325gy8L34DC1wtaVAT" TargetMode="External"/><Relationship Id="rId732" Type="http://schemas.openxmlformats.org/officeDocument/2006/relationships/hyperlink" Target="https://talan.bank.gov.ua/get-user-certificate/J53253GFXda8UtdLeuT-" TargetMode="External"/><Relationship Id="rId1155" Type="http://schemas.openxmlformats.org/officeDocument/2006/relationships/hyperlink" Target="https://talan.bank.gov.ua/get-user-certificate/J5325d5Ai8dcMeyonwV1" TargetMode="External"/><Relationship Id="rId1362" Type="http://schemas.openxmlformats.org/officeDocument/2006/relationships/hyperlink" Target="https://talan.bank.gov.ua/get-user-certificate/J5325oYCcz73ouYrAatl" TargetMode="External"/><Relationship Id="rId2206" Type="http://schemas.openxmlformats.org/officeDocument/2006/relationships/hyperlink" Target="https://talan.bank.gov.ua/get-user-certificate/J5325OEB98eMvm_67gns" TargetMode="External"/><Relationship Id="rId2413" Type="http://schemas.openxmlformats.org/officeDocument/2006/relationships/hyperlink" Target="https://talan.bank.gov.ua/get-user-certificate/J5325bwfP3zP6yJ2KRYZ" TargetMode="External"/><Relationship Id="rId2620" Type="http://schemas.openxmlformats.org/officeDocument/2006/relationships/hyperlink" Target="https://talan.bank.gov.ua/get-user-certificate/J5325RahBOnRX33_ClSM" TargetMode="External"/><Relationship Id="rId1015" Type="http://schemas.openxmlformats.org/officeDocument/2006/relationships/hyperlink" Target="https://talan.bank.gov.ua/get-user-certificate/J5325axYEjj5Cjf6eL2q" TargetMode="External"/><Relationship Id="rId1222" Type="http://schemas.openxmlformats.org/officeDocument/2006/relationships/hyperlink" Target="https://talan.bank.gov.ua/get-user-certificate/J53250z_l3Nh1lWxcadN" TargetMode="External"/><Relationship Id="rId3187" Type="http://schemas.openxmlformats.org/officeDocument/2006/relationships/hyperlink" Target="https://talan.bank.gov.ua/get-user-certificate/J5325YsLs-gHGswq55qj" TargetMode="External"/><Relationship Id="rId3394" Type="http://schemas.openxmlformats.org/officeDocument/2006/relationships/hyperlink" Target="https://talan.bank.gov.ua/get-user-certificate/J5325qSpFPKZCNPIE8Ww" TargetMode="External"/><Relationship Id="rId4238" Type="http://schemas.openxmlformats.org/officeDocument/2006/relationships/hyperlink" Target="https://talan.bank.gov.ua/get-user-certificate/CYWPHJYaDOOZdnkMd6vo" TargetMode="External"/><Relationship Id="rId3047" Type="http://schemas.openxmlformats.org/officeDocument/2006/relationships/hyperlink" Target="https://talan.bank.gov.ua/get-user-certificate/J5325TlJI8Wk539qa4FO" TargetMode="External"/><Relationship Id="rId175" Type="http://schemas.openxmlformats.org/officeDocument/2006/relationships/hyperlink" Target="https://talan.bank.gov.ua/get-user-certificate/J5325_Z8u6-FNJxjw3Dz" TargetMode="External"/><Relationship Id="rId3254" Type="http://schemas.openxmlformats.org/officeDocument/2006/relationships/hyperlink" Target="https://talan.bank.gov.ua/get-user-certificate/J5325AQEnz-v1qwP-mxg" TargetMode="External"/><Relationship Id="rId3461" Type="http://schemas.openxmlformats.org/officeDocument/2006/relationships/hyperlink" Target="https://talan.bank.gov.ua/get-user-certificate/J5325XRKz9QHrUdl38kU" TargetMode="External"/><Relationship Id="rId382" Type="http://schemas.openxmlformats.org/officeDocument/2006/relationships/hyperlink" Target="https://talan.bank.gov.ua/get-user-certificate/J5325bP-7ZdWaa-XQiYl" TargetMode="External"/><Relationship Id="rId2063" Type="http://schemas.openxmlformats.org/officeDocument/2006/relationships/hyperlink" Target="https://talan.bank.gov.ua/get-user-certificate/J5325jRHrbY48oBnLhpm" TargetMode="External"/><Relationship Id="rId2270" Type="http://schemas.openxmlformats.org/officeDocument/2006/relationships/hyperlink" Target="https://talan.bank.gov.ua/get-user-certificate/J5325t2B7UBxx2Ecdla2" TargetMode="External"/><Relationship Id="rId3114" Type="http://schemas.openxmlformats.org/officeDocument/2006/relationships/hyperlink" Target="https://talan.bank.gov.ua/get-user-certificate/J5325XujdYtO6ooqRlXl" TargetMode="External"/><Relationship Id="rId3321" Type="http://schemas.openxmlformats.org/officeDocument/2006/relationships/hyperlink" Target="https://talan.bank.gov.ua/get-user-certificate/J5325QaXX-KzdNezneH_" TargetMode="External"/><Relationship Id="rId242" Type="http://schemas.openxmlformats.org/officeDocument/2006/relationships/hyperlink" Target="https://talan.bank.gov.ua/get-user-certificate/J5325lxswnZZ-42l_V-0" TargetMode="External"/><Relationship Id="rId2130" Type="http://schemas.openxmlformats.org/officeDocument/2006/relationships/hyperlink" Target="https://talan.bank.gov.ua/get-user-certificate/J5325U2ukUYFjhDOUeXP" TargetMode="External"/><Relationship Id="rId102" Type="http://schemas.openxmlformats.org/officeDocument/2006/relationships/hyperlink" Target="https://talan.bank.gov.ua/get-user-certificate/J5325VvwsumS-6RthIeP" TargetMode="External"/><Relationship Id="rId1689" Type="http://schemas.openxmlformats.org/officeDocument/2006/relationships/hyperlink" Target="https://talan.bank.gov.ua/get-user-certificate/J5325Sa8ekpTikrTFoJQ" TargetMode="External"/><Relationship Id="rId4095" Type="http://schemas.openxmlformats.org/officeDocument/2006/relationships/hyperlink" Target="https://talan.bank.gov.ua/get-user-certificate/J5325YbqA3_4GYJn-rw-" TargetMode="External"/><Relationship Id="rId1896" Type="http://schemas.openxmlformats.org/officeDocument/2006/relationships/hyperlink" Target="https://talan.bank.gov.ua/get-user-certificate/J5325DBsxiaPkickKwiC" TargetMode="External"/><Relationship Id="rId2947" Type="http://schemas.openxmlformats.org/officeDocument/2006/relationships/hyperlink" Target="https://talan.bank.gov.ua/get-user-certificate/J53250z0cGHIbuwWLH2W" TargetMode="External"/><Relationship Id="rId4162" Type="http://schemas.openxmlformats.org/officeDocument/2006/relationships/hyperlink" Target="https://talan.bank.gov.ua/get-user-certificate/J5325euSiT-fo-MSOBzi" TargetMode="External"/><Relationship Id="rId919" Type="http://schemas.openxmlformats.org/officeDocument/2006/relationships/hyperlink" Target="https://talan.bank.gov.ua/get-user-certificate/J5325VjVZwq3qMLvirfw" TargetMode="External"/><Relationship Id="rId1549" Type="http://schemas.openxmlformats.org/officeDocument/2006/relationships/hyperlink" Target="https://talan.bank.gov.ua/get-user-certificate/J5325lQUOH4M2aCMRqHG" TargetMode="External"/><Relationship Id="rId1756" Type="http://schemas.openxmlformats.org/officeDocument/2006/relationships/hyperlink" Target="https://talan.bank.gov.ua/get-user-certificate/J5325xlKnyRX_r3Rn07h" TargetMode="External"/><Relationship Id="rId1963" Type="http://schemas.openxmlformats.org/officeDocument/2006/relationships/hyperlink" Target="https://talan.bank.gov.ua/get-user-certificate/J5325IES8YWYTs8cmXJb" TargetMode="External"/><Relationship Id="rId2807" Type="http://schemas.openxmlformats.org/officeDocument/2006/relationships/hyperlink" Target="https://talan.bank.gov.ua/get-user-certificate/J5325vDb8TO6z0KtBv-C" TargetMode="External"/><Relationship Id="rId4022" Type="http://schemas.openxmlformats.org/officeDocument/2006/relationships/hyperlink" Target="https://talan.bank.gov.ua/get-user-certificate/J5325wMarmq4zXMQHFrq" TargetMode="External"/><Relationship Id="rId48" Type="http://schemas.openxmlformats.org/officeDocument/2006/relationships/hyperlink" Target="https://talan.bank.gov.ua/get-user-certificate/J5325JStwWOkcM8FsOfF" TargetMode="External"/><Relationship Id="rId1409" Type="http://schemas.openxmlformats.org/officeDocument/2006/relationships/hyperlink" Target="https://talan.bank.gov.ua/get-user-certificate/J5325za4no9FXVx2OvBQ" TargetMode="External"/><Relationship Id="rId1616" Type="http://schemas.openxmlformats.org/officeDocument/2006/relationships/hyperlink" Target="https://talan.bank.gov.ua/get-user-certificate/J53255Qfu6A79DSnpFjA" TargetMode="External"/><Relationship Id="rId1823" Type="http://schemas.openxmlformats.org/officeDocument/2006/relationships/hyperlink" Target="https://talan.bank.gov.ua/get-user-certificate/J53258K5CrvN7iUQKTwT" TargetMode="External"/><Relationship Id="rId3788" Type="http://schemas.openxmlformats.org/officeDocument/2006/relationships/hyperlink" Target="https://talan.bank.gov.ua/get-user-certificate/J5325Hm4txSVp6lNySq8" TargetMode="External"/><Relationship Id="rId3995" Type="http://schemas.openxmlformats.org/officeDocument/2006/relationships/hyperlink" Target="https://talan.bank.gov.ua/get-user-certificate/J5325x_z_W0YiKSKesTl" TargetMode="External"/><Relationship Id="rId2597" Type="http://schemas.openxmlformats.org/officeDocument/2006/relationships/hyperlink" Target="https://talan.bank.gov.ua/get-user-certificate/J53259Is6dbtyTnwwrJf" TargetMode="External"/><Relationship Id="rId3648" Type="http://schemas.openxmlformats.org/officeDocument/2006/relationships/hyperlink" Target="https://talan.bank.gov.ua/get-user-certificate/J5325zaW06F9-MU7AJt0" TargetMode="External"/><Relationship Id="rId3855" Type="http://schemas.openxmlformats.org/officeDocument/2006/relationships/hyperlink" Target="https://talan.bank.gov.ua/get-user-certificate/J5325HjgnL0mJrCdpcSa" TargetMode="External"/><Relationship Id="rId569" Type="http://schemas.openxmlformats.org/officeDocument/2006/relationships/hyperlink" Target="https://talan.bank.gov.ua/get-user-certificate/J5325ExsJEb3vcAPHvmZ" TargetMode="External"/><Relationship Id="rId776" Type="http://schemas.openxmlformats.org/officeDocument/2006/relationships/hyperlink" Target="https://talan.bank.gov.ua/get-user-certificate/J5325S3NVkCp6N_Tkfs7" TargetMode="External"/><Relationship Id="rId983" Type="http://schemas.openxmlformats.org/officeDocument/2006/relationships/hyperlink" Target="https://talan.bank.gov.ua/get-user-certificate/J5325B8M-KHc9KqKN08e" TargetMode="External"/><Relationship Id="rId1199" Type="http://schemas.openxmlformats.org/officeDocument/2006/relationships/hyperlink" Target="https://talan.bank.gov.ua/get-user-certificate/J5325qvjjTsJHYYj9tXB" TargetMode="External"/><Relationship Id="rId2457" Type="http://schemas.openxmlformats.org/officeDocument/2006/relationships/hyperlink" Target="https://talan.bank.gov.ua/get-user-certificate/J5325h-Ch1o4PRuS2fvb" TargetMode="External"/><Relationship Id="rId2664" Type="http://schemas.openxmlformats.org/officeDocument/2006/relationships/hyperlink" Target="https://talan.bank.gov.ua/get-user-certificate/J5325z03vmdVy86RnHO3" TargetMode="External"/><Relationship Id="rId3508" Type="http://schemas.openxmlformats.org/officeDocument/2006/relationships/hyperlink" Target="https://talan.bank.gov.ua/get-user-certificate/J5325ER4A3ZS_LbCY1xX" TargetMode="External"/><Relationship Id="rId429" Type="http://schemas.openxmlformats.org/officeDocument/2006/relationships/hyperlink" Target="https://talan.bank.gov.ua/get-user-certificate/J5325N5PJ96_d5xKKvbp" TargetMode="External"/><Relationship Id="rId636" Type="http://schemas.openxmlformats.org/officeDocument/2006/relationships/hyperlink" Target="https://talan.bank.gov.ua/get-user-certificate/J5325qmv3A0G1LLXAIDC" TargetMode="External"/><Relationship Id="rId1059" Type="http://schemas.openxmlformats.org/officeDocument/2006/relationships/hyperlink" Target="https://talan.bank.gov.ua/get-user-certificate/J5325JeQgpxvf4SQ9lwR" TargetMode="External"/><Relationship Id="rId1266" Type="http://schemas.openxmlformats.org/officeDocument/2006/relationships/hyperlink" Target="https://talan.bank.gov.ua/get-user-certificate/J53257i840v-Y1Ny35SO" TargetMode="External"/><Relationship Id="rId1473" Type="http://schemas.openxmlformats.org/officeDocument/2006/relationships/hyperlink" Target="https://talan.bank.gov.ua/get-user-certificate/J5325mSfnwNw-jorfgGs" TargetMode="External"/><Relationship Id="rId2317" Type="http://schemas.openxmlformats.org/officeDocument/2006/relationships/hyperlink" Target="https://talan.bank.gov.ua/get-user-certificate/J5325rgeBNsYJcepxjLD" TargetMode="External"/><Relationship Id="rId2871" Type="http://schemas.openxmlformats.org/officeDocument/2006/relationships/hyperlink" Target="https://talan.bank.gov.ua/get-user-certificate/J53259kzf8QPI3Egnt53" TargetMode="External"/><Relationship Id="rId3715" Type="http://schemas.openxmlformats.org/officeDocument/2006/relationships/hyperlink" Target="https://talan.bank.gov.ua/get-user-certificate/J5325hrjZxVSzs_UBVSV" TargetMode="External"/><Relationship Id="rId3922" Type="http://schemas.openxmlformats.org/officeDocument/2006/relationships/hyperlink" Target="https://talan.bank.gov.ua/get-user-certificate/J5325Su1wgkggZeoMQFo" TargetMode="External"/><Relationship Id="rId843" Type="http://schemas.openxmlformats.org/officeDocument/2006/relationships/hyperlink" Target="https://talan.bank.gov.ua/get-user-certificate/J5325s-F7xSO_pL1asZ7" TargetMode="External"/><Relationship Id="rId1126" Type="http://schemas.openxmlformats.org/officeDocument/2006/relationships/hyperlink" Target="https://talan.bank.gov.ua/get-user-certificate/J5325COdXhDRJwGJqihY" TargetMode="External"/><Relationship Id="rId1680" Type="http://schemas.openxmlformats.org/officeDocument/2006/relationships/hyperlink" Target="https://talan.bank.gov.ua/get-user-certificate/J5325RC91xRvaeD95-f9" TargetMode="External"/><Relationship Id="rId2524" Type="http://schemas.openxmlformats.org/officeDocument/2006/relationships/hyperlink" Target="https://talan.bank.gov.ua/get-user-certificate/J5325qc7-YiK7x5NAeWw" TargetMode="External"/><Relationship Id="rId2731" Type="http://schemas.openxmlformats.org/officeDocument/2006/relationships/hyperlink" Target="https://talan.bank.gov.ua/get-user-certificate/J5325nqirjCBjQsqHVYo" TargetMode="External"/><Relationship Id="rId703" Type="http://schemas.openxmlformats.org/officeDocument/2006/relationships/hyperlink" Target="https://talan.bank.gov.ua/get-user-certificate/J5325aUP2ACxpzayNDX4" TargetMode="External"/><Relationship Id="rId910" Type="http://schemas.openxmlformats.org/officeDocument/2006/relationships/hyperlink" Target="https://talan.bank.gov.ua/get-user-certificate/J5325HbnKaWZ5oFTjO7j" TargetMode="External"/><Relationship Id="rId1333" Type="http://schemas.openxmlformats.org/officeDocument/2006/relationships/hyperlink" Target="https://talan.bank.gov.ua/get-user-certificate/J5325Ydu2ahVvF8gHUTj" TargetMode="External"/><Relationship Id="rId1540" Type="http://schemas.openxmlformats.org/officeDocument/2006/relationships/hyperlink" Target="https://talan.bank.gov.ua/get-user-certificate/J5325d4K9Rntq0gFVtRV" TargetMode="External"/><Relationship Id="rId1400" Type="http://schemas.openxmlformats.org/officeDocument/2006/relationships/hyperlink" Target="https://talan.bank.gov.ua/get-user-certificate/J5325Sqsb9D5KyxeXTDk" TargetMode="External"/><Relationship Id="rId3298" Type="http://schemas.openxmlformats.org/officeDocument/2006/relationships/hyperlink" Target="https://talan.bank.gov.ua/get-user-certificate/J5325zF8bnZUpYSsoD12" TargetMode="External"/><Relationship Id="rId3158" Type="http://schemas.openxmlformats.org/officeDocument/2006/relationships/hyperlink" Target="https://talan.bank.gov.ua/get-user-certificate/J5325Sm3x6u8zKtWQpdE" TargetMode="External"/><Relationship Id="rId3365" Type="http://schemas.openxmlformats.org/officeDocument/2006/relationships/hyperlink" Target="https://talan.bank.gov.ua/get-user-certificate/J5325Ze1jbfJe-5MnorG" TargetMode="External"/><Relationship Id="rId3572" Type="http://schemas.openxmlformats.org/officeDocument/2006/relationships/hyperlink" Target="https://talan.bank.gov.ua/get-user-certificate/J5325GXCSeLYCStlUEyY" TargetMode="External"/><Relationship Id="rId4209" Type="http://schemas.openxmlformats.org/officeDocument/2006/relationships/hyperlink" Target="https://talan.bank.gov.ua/get-user-certificate/lHoZPl4CBoS4wUPKYsJK" TargetMode="External"/><Relationship Id="rId286" Type="http://schemas.openxmlformats.org/officeDocument/2006/relationships/hyperlink" Target="https://talan.bank.gov.ua/get-user-certificate/J5325CXxaxckJYsm35A4" TargetMode="External"/><Relationship Id="rId493" Type="http://schemas.openxmlformats.org/officeDocument/2006/relationships/hyperlink" Target="https://talan.bank.gov.ua/get-user-certificate/J5325DiJ4a0Nr_mN1Qsm" TargetMode="External"/><Relationship Id="rId2174" Type="http://schemas.openxmlformats.org/officeDocument/2006/relationships/hyperlink" Target="https://talan.bank.gov.ua/get-user-certificate/J5325B_d8QD8oY8c8E_d" TargetMode="External"/><Relationship Id="rId2381" Type="http://schemas.openxmlformats.org/officeDocument/2006/relationships/hyperlink" Target="https://talan.bank.gov.ua/get-user-certificate/J5325jjKlFCRzJnmalmK" TargetMode="External"/><Relationship Id="rId3018" Type="http://schemas.openxmlformats.org/officeDocument/2006/relationships/hyperlink" Target="https://talan.bank.gov.ua/get-user-certificate/J5325wgT6RBIBJCZQNVt" TargetMode="External"/><Relationship Id="rId3225" Type="http://schemas.openxmlformats.org/officeDocument/2006/relationships/hyperlink" Target="https://talan.bank.gov.ua/get-user-certificate/J5325gqQX8EBXKbk0OHg" TargetMode="External"/><Relationship Id="rId3432" Type="http://schemas.openxmlformats.org/officeDocument/2006/relationships/hyperlink" Target="https://talan.bank.gov.ua/get-user-certificate/J5325sC9_NqUQTO7XOhf" TargetMode="External"/><Relationship Id="rId146" Type="http://schemas.openxmlformats.org/officeDocument/2006/relationships/hyperlink" Target="https://talan.bank.gov.ua/get-user-certificate/J5325UgO5T8v-9XxdGAF" TargetMode="External"/><Relationship Id="rId353" Type="http://schemas.openxmlformats.org/officeDocument/2006/relationships/hyperlink" Target="https://talan.bank.gov.ua/get-user-certificate/J53256nqS8E8vHdqaimW" TargetMode="External"/><Relationship Id="rId560" Type="http://schemas.openxmlformats.org/officeDocument/2006/relationships/hyperlink" Target="https://talan.bank.gov.ua/get-user-certificate/J5325n4rqprZmJB2cpr7" TargetMode="External"/><Relationship Id="rId1190" Type="http://schemas.openxmlformats.org/officeDocument/2006/relationships/hyperlink" Target="https://talan.bank.gov.ua/get-user-certificate/J5325BKNdpAf4up0e2nI" TargetMode="External"/><Relationship Id="rId2034" Type="http://schemas.openxmlformats.org/officeDocument/2006/relationships/hyperlink" Target="https://talan.bank.gov.ua/get-user-certificate/J5325qwN3bvYDrl0Nj0h" TargetMode="External"/><Relationship Id="rId2241" Type="http://schemas.openxmlformats.org/officeDocument/2006/relationships/hyperlink" Target="https://talan.bank.gov.ua/get-user-certificate/J5325fhUWPOJuP37oteq" TargetMode="External"/><Relationship Id="rId213" Type="http://schemas.openxmlformats.org/officeDocument/2006/relationships/hyperlink" Target="https://talan.bank.gov.ua/get-user-certificate/J5325GkIP-rUN5OdKdmX" TargetMode="External"/><Relationship Id="rId420" Type="http://schemas.openxmlformats.org/officeDocument/2006/relationships/hyperlink" Target="https://talan.bank.gov.ua/get-user-certificate/J5325UFQKgIk12br-sYB" TargetMode="External"/><Relationship Id="rId1050" Type="http://schemas.openxmlformats.org/officeDocument/2006/relationships/hyperlink" Target="https://talan.bank.gov.ua/get-user-certificate/J5325EZhKvlJ5-_bLX1M" TargetMode="External"/><Relationship Id="rId2101" Type="http://schemas.openxmlformats.org/officeDocument/2006/relationships/hyperlink" Target="https://talan.bank.gov.ua/get-user-certificate/J5325SdqQLoAdc2hwIXp" TargetMode="External"/><Relationship Id="rId4066" Type="http://schemas.openxmlformats.org/officeDocument/2006/relationships/hyperlink" Target="https://talan.bank.gov.ua/get-user-certificate/J53252v--Kp38y93gJlq" TargetMode="External"/><Relationship Id="rId1867" Type="http://schemas.openxmlformats.org/officeDocument/2006/relationships/hyperlink" Target="https://talan.bank.gov.ua/get-user-certificate/J5325OygjTUkjK3HLOJY" TargetMode="External"/><Relationship Id="rId2918" Type="http://schemas.openxmlformats.org/officeDocument/2006/relationships/hyperlink" Target="https://talan.bank.gov.ua/get-user-certificate/J5325TzD4mpoRUH_NJDW" TargetMode="External"/><Relationship Id="rId1727" Type="http://schemas.openxmlformats.org/officeDocument/2006/relationships/hyperlink" Target="https://talan.bank.gov.ua/get-user-certificate/J5325SiTR2S4QDmsFlMx" TargetMode="External"/><Relationship Id="rId1934" Type="http://schemas.openxmlformats.org/officeDocument/2006/relationships/hyperlink" Target="https://talan.bank.gov.ua/get-user-certificate/J5325Xu-U-ielCQiI0Xq" TargetMode="External"/><Relationship Id="rId3082" Type="http://schemas.openxmlformats.org/officeDocument/2006/relationships/hyperlink" Target="https://talan.bank.gov.ua/get-user-certificate/J53257hmxCrS7pH1UPk3" TargetMode="External"/><Relationship Id="rId4133" Type="http://schemas.openxmlformats.org/officeDocument/2006/relationships/hyperlink" Target="https://talan.bank.gov.ua/get-user-certificate/J5325C3Xjszj-GzlARQf" TargetMode="External"/><Relationship Id="rId19" Type="http://schemas.openxmlformats.org/officeDocument/2006/relationships/hyperlink" Target="https://talan.bank.gov.ua/get-user-certificate/J5325IxWAZ_akMDNbX0K" TargetMode="External"/><Relationship Id="rId3899" Type="http://schemas.openxmlformats.org/officeDocument/2006/relationships/hyperlink" Target="https://talan.bank.gov.ua/get-user-certificate/J5325YMe-9rWE0hpmk82" TargetMode="External"/><Relationship Id="rId4200" Type="http://schemas.openxmlformats.org/officeDocument/2006/relationships/hyperlink" Target="https://talan.bank.gov.ua/get-user-certificate/TbxZW_fjVx-81PuelNge" TargetMode="External"/><Relationship Id="rId3759" Type="http://schemas.openxmlformats.org/officeDocument/2006/relationships/hyperlink" Target="https://talan.bank.gov.ua/get-user-certificate/J53255G9dCuuHiRIbGD1" TargetMode="External"/><Relationship Id="rId3966" Type="http://schemas.openxmlformats.org/officeDocument/2006/relationships/hyperlink" Target="https://talan.bank.gov.ua/get-user-certificate/J5325YtisMdd8d2AXx4s" TargetMode="External"/><Relationship Id="rId3" Type="http://schemas.openxmlformats.org/officeDocument/2006/relationships/hyperlink" Target="https://talan.bank.gov.ua/get-user-certificate/J5325XUTLTpMk7W_5Xkq" TargetMode="External"/><Relationship Id="rId887" Type="http://schemas.openxmlformats.org/officeDocument/2006/relationships/hyperlink" Target="https://talan.bank.gov.ua/get-user-certificate/J53250L9a6zNK1hTV3kf" TargetMode="External"/><Relationship Id="rId2568" Type="http://schemas.openxmlformats.org/officeDocument/2006/relationships/hyperlink" Target="https://talan.bank.gov.ua/get-user-certificate/J5325_FRQPeLIU0Jaj3i" TargetMode="External"/><Relationship Id="rId2775" Type="http://schemas.openxmlformats.org/officeDocument/2006/relationships/hyperlink" Target="https://talan.bank.gov.ua/get-user-certificate/J5325zUlZba4TwdvTJFm" TargetMode="External"/><Relationship Id="rId2982" Type="http://schemas.openxmlformats.org/officeDocument/2006/relationships/hyperlink" Target="https://talan.bank.gov.ua/get-user-certificate/J5325daCma7749ccSvYt" TargetMode="External"/><Relationship Id="rId3619" Type="http://schemas.openxmlformats.org/officeDocument/2006/relationships/hyperlink" Target="https://talan.bank.gov.ua/get-user-certificate/J5325bv6XDeY1XYPhhDR" TargetMode="External"/><Relationship Id="rId3826" Type="http://schemas.openxmlformats.org/officeDocument/2006/relationships/hyperlink" Target="https://talan.bank.gov.ua/get-user-certificate/J53251it9JobNn1D3v5h" TargetMode="External"/><Relationship Id="rId747" Type="http://schemas.openxmlformats.org/officeDocument/2006/relationships/hyperlink" Target="https://talan.bank.gov.ua/get-user-certificate/J5325UtKW2lWVKpIJHHK" TargetMode="External"/><Relationship Id="rId954" Type="http://schemas.openxmlformats.org/officeDocument/2006/relationships/hyperlink" Target="https://talan.bank.gov.ua/get-user-certificate/J5325IkJCQ0xWGOnM-m_" TargetMode="External"/><Relationship Id="rId1377" Type="http://schemas.openxmlformats.org/officeDocument/2006/relationships/hyperlink" Target="https://talan.bank.gov.ua/get-user-certificate/J5325EjVo8ZtS7lrECtO" TargetMode="External"/><Relationship Id="rId1584" Type="http://schemas.openxmlformats.org/officeDocument/2006/relationships/hyperlink" Target="https://talan.bank.gov.ua/get-user-certificate/J5325gJRS3dBfGj5hYZq" TargetMode="External"/><Relationship Id="rId1791" Type="http://schemas.openxmlformats.org/officeDocument/2006/relationships/hyperlink" Target="https://talan.bank.gov.ua/get-user-certificate/J5325CVwqEoaYsHjxaHK" TargetMode="External"/><Relationship Id="rId2428" Type="http://schemas.openxmlformats.org/officeDocument/2006/relationships/hyperlink" Target="https://talan.bank.gov.ua/get-user-certificate/J5325LWWprhf0kh_aFmM" TargetMode="External"/><Relationship Id="rId2635" Type="http://schemas.openxmlformats.org/officeDocument/2006/relationships/hyperlink" Target="https://talan.bank.gov.ua/get-user-certificate/J5325JeyAamt_2oXJW-v" TargetMode="External"/><Relationship Id="rId2842" Type="http://schemas.openxmlformats.org/officeDocument/2006/relationships/hyperlink" Target="https://talan.bank.gov.ua/get-user-certificate/J5325j2chVJ_QVXrLG45" TargetMode="External"/><Relationship Id="rId83" Type="http://schemas.openxmlformats.org/officeDocument/2006/relationships/hyperlink" Target="https://talan.bank.gov.ua/get-user-certificate/J5325MzppgrtbMsDkIfM" TargetMode="External"/><Relationship Id="rId607" Type="http://schemas.openxmlformats.org/officeDocument/2006/relationships/hyperlink" Target="https://talan.bank.gov.ua/get-user-certificate/J5325sGtnx2uCuklKVFd" TargetMode="External"/><Relationship Id="rId814" Type="http://schemas.openxmlformats.org/officeDocument/2006/relationships/hyperlink" Target="https://talan.bank.gov.ua/get-user-certificate/J5325rIIg5HRjXhlk0BR" TargetMode="External"/><Relationship Id="rId1237" Type="http://schemas.openxmlformats.org/officeDocument/2006/relationships/hyperlink" Target="https://talan.bank.gov.ua/get-user-certificate/J5325g_RPkFbz6UBXHEZ" TargetMode="External"/><Relationship Id="rId1444" Type="http://schemas.openxmlformats.org/officeDocument/2006/relationships/hyperlink" Target="https://talan.bank.gov.ua/get-user-certificate/J5325fWtoZ9sR2gUWAUg" TargetMode="External"/><Relationship Id="rId1651" Type="http://schemas.openxmlformats.org/officeDocument/2006/relationships/hyperlink" Target="https://talan.bank.gov.ua/get-user-certificate/J5325TO_Tj9M0vnYOxDM" TargetMode="External"/><Relationship Id="rId2702" Type="http://schemas.openxmlformats.org/officeDocument/2006/relationships/hyperlink" Target="https://talan.bank.gov.ua/get-user-certificate/J53257Y9MVyG0DDl-NA2" TargetMode="External"/><Relationship Id="rId1304" Type="http://schemas.openxmlformats.org/officeDocument/2006/relationships/hyperlink" Target="https://talan.bank.gov.ua/get-user-certificate/J53256h1uOhLHIcrwPgo" TargetMode="External"/><Relationship Id="rId1511" Type="http://schemas.openxmlformats.org/officeDocument/2006/relationships/hyperlink" Target="https://talan.bank.gov.ua/get-user-certificate/J5325w_LXe0KIM8kNVb8" TargetMode="External"/><Relationship Id="rId3269" Type="http://schemas.openxmlformats.org/officeDocument/2006/relationships/hyperlink" Target="https://talan.bank.gov.ua/get-user-certificate/J5325O2PPl3d6SorempV" TargetMode="External"/><Relationship Id="rId3476" Type="http://schemas.openxmlformats.org/officeDocument/2006/relationships/hyperlink" Target="https://talan.bank.gov.ua/get-user-certificate/J5325tT02pLdROehfBqY" TargetMode="External"/><Relationship Id="rId3683" Type="http://schemas.openxmlformats.org/officeDocument/2006/relationships/hyperlink" Target="https://talan.bank.gov.ua/get-user-certificate/J532537gNf_DAs9I2D7x" TargetMode="External"/><Relationship Id="rId10" Type="http://schemas.openxmlformats.org/officeDocument/2006/relationships/hyperlink" Target="https://talan.bank.gov.ua/get-user-certificate/J53254shmtvz3lNwuXxR" TargetMode="External"/><Relationship Id="rId397" Type="http://schemas.openxmlformats.org/officeDocument/2006/relationships/hyperlink" Target="https://talan.bank.gov.ua/get-user-certificate/J5325BUX51aFS07_JEzF" TargetMode="External"/><Relationship Id="rId2078" Type="http://schemas.openxmlformats.org/officeDocument/2006/relationships/hyperlink" Target="https://talan.bank.gov.ua/get-user-certificate/J5325WHDx7hRnuRY9yut" TargetMode="External"/><Relationship Id="rId2285" Type="http://schemas.openxmlformats.org/officeDocument/2006/relationships/hyperlink" Target="https://talan.bank.gov.ua/get-user-certificate/J5325di9yHl-ptxK8cMe" TargetMode="External"/><Relationship Id="rId2492" Type="http://schemas.openxmlformats.org/officeDocument/2006/relationships/hyperlink" Target="https://talan.bank.gov.ua/get-user-certificate/J5325GjaGkiufNG5oGfB" TargetMode="External"/><Relationship Id="rId3129" Type="http://schemas.openxmlformats.org/officeDocument/2006/relationships/hyperlink" Target="https://talan.bank.gov.ua/get-user-certificate/J5325R6t4x6tY4ZhEQXb" TargetMode="External"/><Relationship Id="rId3336" Type="http://schemas.openxmlformats.org/officeDocument/2006/relationships/hyperlink" Target="https://talan.bank.gov.ua/get-user-certificate/J53255nNNKp1CaYu8Asg" TargetMode="External"/><Relationship Id="rId3890" Type="http://schemas.openxmlformats.org/officeDocument/2006/relationships/hyperlink" Target="https://talan.bank.gov.ua/get-user-certificate/J53250j0UqJxxmcpZIeL" TargetMode="External"/><Relationship Id="rId257" Type="http://schemas.openxmlformats.org/officeDocument/2006/relationships/hyperlink" Target="https://talan.bank.gov.ua/get-user-certificate/J5325bCTi7nbXEzw6VD0" TargetMode="External"/><Relationship Id="rId464" Type="http://schemas.openxmlformats.org/officeDocument/2006/relationships/hyperlink" Target="https://talan.bank.gov.ua/get-user-certificate/J5325daWNwl1DrahWU3j" TargetMode="External"/><Relationship Id="rId1094" Type="http://schemas.openxmlformats.org/officeDocument/2006/relationships/hyperlink" Target="https://talan.bank.gov.ua/get-user-certificate/J53251Ww9j8-pBx7s98L" TargetMode="External"/><Relationship Id="rId2145" Type="http://schemas.openxmlformats.org/officeDocument/2006/relationships/hyperlink" Target="https://talan.bank.gov.ua/get-user-certificate/J5325gpFK_wBAV69Thwr" TargetMode="External"/><Relationship Id="rId3543" Type="http://schemas.openxmlformats.org/officeDocument/2006/relationships/hyperlink" Target="https://talan.bank.gov.ua/get-user-certificate/J5325MxRoK6WxU58mnO_" TargetMode="External"/><Relationship Id="rId3750" Type="http://schemas.openxmlformats.org/officeDocument/2006/relationships/hyperlink" Target="https://talan.bank.gov.ua/get-user-certificate/J5325lDzAoIgOxmYqAR2" TargetMode="External"/><Relationship Id="rId117" Type="http://schemas.openxmlformats.org/officeDocument/2006/relationships/hyperlink" Target="https://talan.bank.gov.ua/get-user-certificate/J5325ljAxMS95_xRQ0jT" TargetMode="External"/><Relationship Id="rId671" Type="http://schemas.openxmlformats.org/officeDocument/2006/relationships/hyperlink" Target="https://talan.bank.gov.ua/get-user-certificate/J5325ykXJUtUNxlq0FDO" TargetMode="External"/><Relationship Id="rId2352" Type="http://schemas.openxmlformats.org/officeDocument/2006/relationships/hyperlink" Target="https://talan.bank.gov.ua/get-user-certificate/J5325gU30Zazf17QovS_" TargetMode="External"/><Relationship Id="rId3403" Type="http://schemas.openxmlformats.org/officeDocument/2006/relationships/hyperlink" Target="https://talan.bank.gov.ua/get-user-certificate/J5325BY31HI2-iHWnrs2" TargetMode="External"/><Relationship Id="rId3610" Type="http://schemas.openxmlformats.org/officeDocument/2006/relationships/hyperlink" Target="https://talan.bank.gov.ua/get-user-certificate/J5325GKO5VgTie8eR8PP" TargetMode="External"/><Relationship Id="rId324" Type="http://schemas.openxmlformats.org/officeDocument/2006/relationships/hyperlink" Target="https://talan.bank.gov.ua/get-user-certificate/J5325S_tAt5rXf5vUxa7" TargetMode="External"/><Relationship Id="rId531" Type="http://schemas.openxmlformats.org/officeDocument/2006/relationships/hyperlink" Target="https://talan.bank.gov.ua/get-user-certificate/J5325bXcP8IWlUD9sN8q" TargetMode="External"/><Relationship Id="rId1161" Type="http://schemas.openxmlformats.org/officeDocument/2006/relationships/hyperlink" Target="https://talan.bank.gov.ua/get-user-certificate/J5325VZbA5nmnIgnH3Wj" TargetMode="External"/><Relationship Id="rId2005" Type="http://schemas.openxmlformats.org/officeDocument/2006/relationships/hyperlink" Target="https://talan.bank.gov.ua/get-user-certificate/J5325ZbFOLgb11y3NDi7" TargetMode="External"/><Relationship Id="rId2212" Type="http://schemas.openxmlformats.org/officeDocument/2006/relationships/hyperlink" Target="https://talan.bank.gov.ua/get-user-certificate/J5325UC0KcBwZzmXhzR9" TargetMode="External"/><Relationship Id="rId1021" Type="http://schemas.openxmlformats.org/officeDocument/2006/relationships/hyperlink" Target="https://talan.bank.gov.ua/get-user-certificate/J5325KyZ7KdbPpx2MM9z" TargetMode="External"/><Relationship Id="rId1978" Type="http://schemas.openxmlformats.org/officeDocument/2006/relationships/hyperlink" Target="https://talan.bank.gov.ua/get-user-certificate/J5325vVWIxE4sWzDUes6" TargetMode="External"/><Relationship Id="rId4177" Type="http://schemas.openxmlformats.org/officeDocument/2006/relationships/hyperlink" Target="https://talan.bank.gov.ua/get-user-certificate/TbxZWxbqB8zz8ibDT1Hl" TargetMode="External"/><Relationship Id="rId3193" Type="http://schemas.openxmlformats.org/officeDocument/2006/relationships/hyperlink" Target="https://talan.bank.gov.ua/get-user-certificate/J5325-A1zWTq5Qq-Q0b_" TargetMode="External"/><Relationship Id="rId4037" Type="http://schemas.openxmlformats.org/officeDocument/2006/relationships/hyperlink" Target="https://talan.bank.gov.ua/get-user-certificate/J5325spHqYB2HtqJNzRW" TargetMode="External"/><Relationship Id="rId4244" Type="http://schemas.openxmlformats.org/officeDocument/2006/relationships/hyperlink" Target="https://talan.bank.gov.ua/get-user-certificate/CYWPHBnutuKbXhX9FjeA" TargetMode="External"/><Relationship Id="rId1838" Type="http://schemas.openxmlformats.org/officeDocument/2006/relationships/hyperlink" Target="https://talan.bank.gov.ua/get-user-certificate/J5325VlXd66QEYL0wdmf" TargetMode="External"/><Relationship Id="rId3053" Type="http://schemas.openxmlformats.org/officeDocument/2006/relationships/hyperlink" Target="https://talan.bank.gov.ua/get-user-certificate/J5325-32onT9oYgukbpG" TargetMode="External"/><Relationship Id="rId3260" Type="http://schemas.openxmlformats.org/officeDocument/2006/relationships/hyperlink" Target="https://talan.bank.gov.ua/get-user-certificate/J5325BNuxl9eDcoLk7-I" TargetMode="External"/><Relationship Id="rId4104" Type="http://schemas.openxmlformats.org/officeDocument/2006/relationships/hyperlink" Target="https://talan.bank.gov.ua/get-user-certificate/J5325_fi4leAvGMZkghp" TargetMode="External"/><Relationship Id="rId181" Type="http://schemas.openxmlformats.org/officeDocument/2006/relationships/hyperlink" Target="https://talan.bank.gov.ua/get-user-certificate/J5325Mo4SUXxAgMF62RF" TargetMode="External"/><Relationship Id="rId1905" Type="http://schemas.openxmlformats.org/officeDocument/2006/relationships/hyperlink" Target="https://talan.bank.gov.ua/get-user-certificate/J53252uAz5PSzvs9VnbZ" TargetMode="External"/><Relationship Id="rId3120" Type="http://schemas.openxmlformats.org/officeDocument/2006/relationships/hyperlink" Target="https://talan.bank.gov.ua/get-user-certificate/J5325QHEIERu02oftmPO" TargetMode="External"/><Relationship Id="rId998" Type="http://schemas.openxmlformats.org/officeDocument/2006/relationships/hyperlink" Target="https://talan.bank.gov.ua/get-user-certificate/J5325N7lqg65XZo2Y53-" TargetMode="External"/><Relationship Id="rId2679" Type="http://schemas.openxmlformats.org/officeDocument/2006/relationships/hyperlink" Target="https://talan.bank.gov.ua/get-user-certificate/J5325BgDrw2_2LAW8_b_" TargetMode="External"/><Relationship Id="rId2886" Type="http://schemas.openxmlformats.org/officeDocument/2006/relationships/hyperlink" Target="https://talan.bank.gov.ua/get-user-certificate/J5325hwEtWKxQgvgMsBv" TargetMode="External"/><Relationship Id="rId3937" Type="http://schemas.openxmlformats.org/officeDocument/2006/relationships/hyperlink" Target="https://talan.bank.gov.ua/get-user-certificate/J5325GhaY0dA-jPQ2bsA" TargetMode="External"/><Relationship Id="rId858" Type="http://schemas.openxmlformats.org/officeDocument/2006/relationships/hyperlink" Target="https://talan.bank.gov.ua/get-user-certificate/J5325yiG4lorODVPs-I2" TargetMode="External"/><Relationship Id="rId1488" Type="http://schemas.openxmlformats.org/officeDocument/2006/relationships/hyperlink" Target="https://talan.bank.gov.ua/get-user-certificate/J5325RZTeNxKAv1tlkQG" TargetMode="External"/><Relationship Id="rId1695" Type="http://schemas.openxmlformats.org/officeDocument/2006/relationships/hyperlink" Target="https://talan.bank.gov.ua/get-user-certificate/J53257qWApjb7_obXG5_" TargetMode="External"/><Relationship Id="rId2539" Type="http://schemas.openxmlformats.org/officeDocument/2006/relationships/hyperlink" Target="https://talan.bank.gov.ua/get-user-certificate/J5325EL0sxLFmxoyu6yt" TargetMode="External"/><Relationship Id="rId2746" Type="http://schemas.openxmlformats.org/officeDocument/2006/relationships/hyperlink" Target="https://talan.bank.gov.ua/get-user-certificate/J5325bkLCLXa_dPEOLUE" TargetMode="External"/><Relationship Id="rId2953" Type="http://schemas.openxmlformats.org/officeDocument/2006/relationships/hyperlink" Target="https://talan.bank.gov.ua/get-user-certificate/J5325pIyshFh2fBbhFz2" TargetMode="External"/><Relationship Id="rId718" Type="http://schemas.openxmlformats.org/officeDocument/2006/relationships/hyperlink" Target="https://talan.bank.gov.ua/get-user-certificate/J53256rhQhFx0lpZ7dsW" TargetMode="External"/><Relationship Id="rId925" Type="http://schemas.openxmlformats.org/officeDocument/2006/relationships/hyperlink" Target="https://talan.bank.gov.ua/get-user-certificate/J5325idWY2SzCks8UCvy" TargetMode="External"/><Relationship Id="rId1348" Type="http://schemas.openxmlformats.org/officeDocument/2006/relationships/hyperlink" Target="https://talan.bank.gov.ua/get-user-certificate/J53250jqlpPXGK7BERSY" TargetMode="External"/><Relationship Id="rId1555" Type="http://schemas.openxmlformats.org/officeDocument/2006/relationships/hyperlink" Target="https://talan.bank.gov.ua/get-user-certificate/J5325lkjpupdE6yw2Bby" TargetMode="External"/><Relationship Id="rId1762" Type="http://schemas.openxmlformats.org/officeDocument/2006/relationships/hyperlink" Target="https://talan.bank.gov.ua/get-user-certificate/J5325lA-hdQ7nWLY-d06" TargetMode="External"/><Relationship Id="rId2606" Type="http://schemas.openxmlformats.org/officeDocument/2006/relationships/hyperlink" Target="https://talan.bank.gov.ua/get-user-certificate/J5325OWgSITxvv7Qm3ZO" TargetMode="External"/><Relationship Id="rId1208" Type="http://schemas.openxmlformats.org/officeDocument/2006/relationships/hyperlink" Target="https://talan.bank.gov.ua/get-user-certificate/J53258aPvJ19VkSPUB3K" TargetMode="External"/><Relationship Id="rId1415" Type="http://schemas.openxmlformats.org/officeDocument/2006/relationships/hyperlink" Target="https://talan.bank.gov.ua/get-user-certificate/J53255LwidJxjmhAAhha" TargetMode="External"/><Relationship Id="rId2813" Type="http://schemas.openxmlformats.org/officeDocument/2006/relationships/hyperlink" Target="https://talan.bank.gov.ua/get-user-certificate/J5325djbYF0u2UT0492B" TargetMode="External"/><Relationship Id="rId54" Type="http://schemas.openxmlformats.org/officeDocument/2006/relationships/hyperlink" Target="https://talan.bank.gov.ua/get-user-certificate/J5325CDKcak69X5lMPk1" TargetMode="External"/><Relationship Id="rId1622" Type="http://schemas.openxmlformats.org/officeDocument/2006/relationships/hyperlink" Target="https://talan.bank.gov.ua/get-user-certificate/J5325tp2K-XKc6L3DwrG" TargetMode="External"/><Relationship Id="rId2189" Type="http://schemas.openxmlformats.org/officeDocument/2006/relationships/hyperlink" Target="https://talan.bank.gov.ua/get-user-certificate/J5325ycBi7hOuzujsOHY" TargetMode="External"/><Relationship Id="rId3587" Type="http://schemas.openxmlformats.org/officeDocument/2006/relationships/hyperlink" Target="https://talan.bank.gov.ua/get-user-certificate/J5325t-GUbq8F2q0WhG4" TargetMode="External"/><Relationship Id="rId3794" Type="http://schemas.openxmlformats.org/officeDocument/2006/relationships/hyperlink" Target="https://talan.bank.gov.ua/get-user-certificate/J5325vA4XP4wer-XGHMy" TargetMode="External"/><Relationship Id="rId2396" Type="http://schemas.openxmlformats.org/officeDocument/2006/relationships/hyperlink" Target="https://talan.bank.gov.ua/get-user-certificate/J5325SrAZnvhUieYZ18E" TargetMode="External"/><Relationship Id="rId3447" Type="http://schemas.openxmlformats.org/officeDocument/2006/relationships/hyperlink" Target="https://talan.bank.gov.ua/get-user-certificate/J5325SjZ7QA7CVVVA69s" TargetMode="External"/><Relationship Id="rId3654" Type="http://schemas.openxmlformats.org/officeDocument/2006/relationships/hyperlink" Target="https://talan.bank.gov.ua/get-user-certificate/J5325W3rVt85NsgX8VFg" TargetMode="External"/><Relationship Id="rId3861" Type="http://schemas.openxmlformats.org/officeDocument/2006/relationships/hyperlink" Target="https://talan.bank.gov.ua/get-user-certificate/J5325uEmWxytM3Br91vD" TargetMode="External"/><Relationship Id="rId368" Type="http://schemas.openxmlformats.org/officeDocument/2006/relationships/hyperlink" Target="https://talan.bank.gov.ua/get-user-certificate/J5325AYBwZp3u9SxXybt" TargetMode="External"/><Relationship Id="rId575" Type="http://schemas.openxmlformats.org/officeDocument/2006/relationships/hyperlink" Target="https://talan.bank.gov.ua/get-user-certificate/J5325_rq4NAe-w9A6yop" TargetMode="External"/><Relationship Id="rId782" Type="http://schemas.openxmlformats.org/officeDocument/2006/relationships/hyperlink" Target="https://talan.bank.gov.ua/get-user-certificate/J53250fphlxiEO71dbaz" TargetMode="External"/><Relationship Id="rId2049" Type="http://schemas.openxmlformats.org/officeDocument/2006/relationships/hyperlink" Target="https://talan.bank.gov.ua/get-user-certificate/J53255rC8o8-ngZignW8" TargetMode="External"/><Relationship Id="rId2256" Type="http://schemas.openxmlformats.org/officeDocument/2006/relationships/hyperlink" Target="https://talan.bank.gov.ua/get-user-certificate/J5325uX5bGbi55O5-YYS" TargetMode="External"/><Relationship Id="rId2463" Type="http://schemas.openxmlformats.org/officeDocument/2006/relationships/hyperlink" Target="https://talan.bank.gov.ua/get-user-certificate/J53254Zv-XZ9QEREd7Fc" TargetMode="External"/><Relationship Id="rId2670" Type="http://schemas.openxmlformats.org/officeDocument/2006/relationships/hyperlink" Target="https://talan.bank.gov.ua/get-user-certificate/J5325baF-nDfiWfjjnId" TargetMode="External"/><Relationship Id="rId3307" Type="http://schemas.openxmlformats.org/officeDocument/2006/relationships/hyperlink" Target="https://talan.bank.gov.ua/get-user-certificate/J53257GOhrrxWGkLriGr" TargetMode="External"/><Relationship Id="rId3514" Type="http://schemas.openxmlformats.org/officeDocument/2006/relationships/hyperlink" Target="https://talan.bank.gov.ua/get-user-certificate/J5325NGOrBpsKnSMJSSP" TargetMode="External"/><Relationship Id="rId3721" Type="http://schemas.openxmlformats.org/officeDocument/2006/relationships/hyperlink" Target="https://talan.bank.gov.ua/get-user-certificate/J5325z1h1RBSwtvxkDLg" TargetMode="External"/><Relationship Id="rId228" Type="http://schemas.openxmlformats.org/officeDocument/2006/relationships/hyperlink" Target="https://talan.bank.gov.ua/get-user-certificate/J5325Ew3J4KcLZZkosSS" TargetMode="External"/><Relationship Id="rId435" Type="http://schemas.openxmlformats.org/officeDocument/2006/relationships/hyperlink" Target="https://talan.bank.gov.ua/get-user-certificate/J5325ciIc0iuZfDyvobb" TargetMode="External"/><Relationship Id="rId642" Type="http://schemas.openxmlformats.org/officeDocument/2006/relationships/hyperlink" Target="https://talan.bank.gov.ua/get-user-certificate/J5325ETRH3QGjQE2jyAk" TargetMode="External"/><Relationship Id="rId1065" Type="http://schemas.openxmlformats.org/officeDocument/2006/relationships/hyperlink" Target="https://talan.bank.gov.ua/get-user-certificate/J5325kTavUU70HnRnGQz" TargetMode="External"/><Relationship Id="rId1272" Type="http://schemas.openxmlformats.org/officeDocument/2006/relationships/hyperlink" Target="https://talan.bank.gov.ua/get-user-certificate/J5325B8o_TmwO813IeAC" TargetMode="External"/><Relationship Id="rId2116" Type="http://schemas.openxmlformats.org/officeDocument/2006/relationships/hyperlink" Target="https://talan.bank.gov.ua/get-user-certificate/J5325qP-ADFJ0nYp7yro" TargetMode="External"/><Relationship Id="rId2323" Type="http://schemas.openxmlformats.org/officeDocument/2006/relationships/hyperlink" Target="https://talan.bank.gov.ua/get-user-certificate/J5325PBf9nCN9M_ccg3N" TargetMode="External"/><Relationship Id="rId2530" Type="http://schemas.openxmlformats.org/officeDocument/2006/relationships/hyperlink" Target="https://talan.bank.gov.ua/get-user-certificate/J5325IA0F1t1QOCy7Ol0" TargetMode="External"/><Relationship Id="rId502" Type="http://schemas.openxmlformats.org/officeDocument/2006/relationships/hyperlink" Target="https://talan.bank.gov.ua/get-user-certificate/J5325lonlSSyHjX-S705" TargetMode="External"/><Relationship Id="rId1132" Type="http://schemas.openxmlformats.org/officeDocument/2006/relationships/hyperlink" Target="https://talan.bank.gov.ua/get-user-certificate/J5325NPovCeV7YZ2bCu9" TargetMode="External"/><Relationship Id="rId3097" Type="http://schemas.openxmlformats.org/officeDocument/2006/relationships/hyperlink" Target="https://talan.bank.gov.ua/get-user-certificate/J53258t3RZjh3dePMFAs" TargetMode="External"/><Relationship Id="rId4148" Type="http://schemas.openxmlformats.org/officeDocument/2006/relationships/hyperlink" Target="https://talan.bank.gov.ua/get-user-certificate/J5325i1C1NYbDsUEDqrL" TargetMode="External"/><Relationship Id="rId1949" Type="http://schemas.openxmlformats.org/officeDocument/2006/relationships/hyperlink" Target="https://talan.bank.gov.ua/get-user-certificate/J5325f11AIIVc7ZM_j-D" TargetMode="External"/><Relationship Id="rId3164" Type="http://schemas.openxmlformats.org/officeDocument/2006/relationships/hyperlink" Target="https://talan.bank.gov.ua/get-user-certificate/J5325Q3PsyaP-lh7-JRp" TargetMode="External"/><Relationship Id="rId4008" Type="http://schemas.openxmlformats.org/officeDocument/2006/relationships/hyperlink" Target="https://talan.bank.gov.ua/get-user-certificate/J53259XM0w6TJhzGCGz-" TargetMode="External"/><Relationship Id="rId292" Type="http://schemas.openxmlformats.org/officeDocument/2006/relationships/hyperlink" Target="https://talan.bank.gov.ua/get-user-certificate/J53256QREhVyoc-BJ0CD" TargetMode="External"/><Relationship Id="rId1809" Type="http://schemas.openxmlformats.org/officeDocument/2006/relationships/hyperlink" Target="https://talan.bank.gov.ua/get-user-certificate/J5325sXPS8N_8_le0czj" TargetMode="External"/><Relationship Id="rId3371" Type="http://schemas.openxmlformats.org/officeDocument/2006/relationships/hyperlink" Target="https://talan.bank.gov.ua/get-user-certificate/J5325rfCO9Hiwt-nUeEx" TargetMode="External"/><Relationship Id="rId4215" Type="http://schemas.openxmlformats.org/officeDocument/2006/relationships/hyperlink" Target="https://talan.bank.gov.ua/get-user-certificate/lHoZPkWMd9grxh4UxXe9" TargetMode="External"/><Relationship Id="rId2180" Type="http://schemas.openxmlformats.org/officeDocument/2006/relationships/hyperlink" Target="https://talan.bank.gov.ua/get-user-certificate/J53254aekUbXQrrB9xoF" TargetMode="External"/><Relationship Id="rId3024" Type="http://schemas.openxmlformats.org/officeDocument/2006/relationships/hyperlink" Target="https://talan.bank.gov.ua/get-user-certificate/J5325VuNnd1ZilpU2nnf" TargetMode="External"/><Relationship Id="rId3231" Type="http://schemas.openxmlformats.org/officeDocument/2006/relationships/hyperlink" Target="https://talan.bank.gov.ua/get-user-certificate/J5325InI_AT_UpVnIo2N" TargetMode="External"/><Relationship Id="rId152" Type="http://schemas.openxmlformats.org/officeDocument/2006/relationships/hyperlink" Target="https://talan.bank.gov.ua/get-user-certificate/J5325pYw199Ea-rgHrQP" TargetMode="External"/><Relationship Id="rId2040" Type="http://schemas.openxmlformats.org/officeDocument/2006/relationships/hyperlink" Target="https://talan.bank.gov.ua/get-user-certificate/J532576hiUxk34fuj_Fm" TargetMode="External"/><Relationship Id="rId2997" Type="http://schemas.openxmlformats.org/officeDocument/2006/relationships/hyperlink" Target="https://talan.bank.gov.ua/get-user-certificate/J5325rKU1CPbP9xY8jS8" TargetMode="External"/><Relationship Id="rId969" Type="http://schemas.openxmlformats.org/officeDocument/2006/relationships/hyperlink" Target="https://talan.bank.gov.ua/get-user-certificate/J5325-gxP7sPpW7WImL4" TargetMode="External"/><Relationship Id="rId1599" Type="http://schemas.openxmlformats.org/officeDocument/2006/relationships/hyperlink" Target="https://talan.bank.gov.ua/get-user-certificate/J5325QqhaVHJk7IAAEd9" TargetMode="External"/><Relationship Id="rId1459" Type="http://schemas.openxmlformats.org/officeDocument/2006/relationships/hyperlink" Target="https://talan.bank.gov.ua/get-user-certificate/J5325S8N-inyi6dmbiMT" TargetMode="External"/><Relationship Id="rId2857" Type="http://schemas.openxmlformats.org/officeDocument/2006/relationships/hyperlink" Target="https://talan.bank.gov.ua/get-user-certificate/J5325oxBCHGIjBt09HLE" TargetMode="External"/><Relationship Id="rId3908" Type="http://schemas.openxmlformats.org/officeDocument/2006/relationships/hyperlink" Target="https://talan.bank.gov.ua/get-user-certificate/J5325zSleWsnPYZKLV95" TargetMode="External"/><Relationship Id="rId4072" Type="http://schemas.openxmlformats.org/officeDocument/2006/relationships/hyperlink" Target="https://talan.bank.gov.ua/get-user-certificate/J5325FD0ldnHYUWLclJD" TargetMode="External"/><Relationship Id="rId98" Type="http://schemas.openxmlformats.org/officeDocument/2006/relationships/hyperlink" Target="https://talan.bank.gov.ua/get-user-certificate/J5325dTVQIEPyQwTXZ5U" TargetMode="External"/><Relationship Id="rId829" Type="http://schemas.openxmlformats.org/officeDocument/2006/relationships/hyperlink" Target="https://talan.bank.gov.ua/get-user-certificate/J5325bvHwLgVqjuu-gYd" TargetMode="External"/><Relationship Id="rId1666" Type="http://schemas.openxmlformats.org/officeDocument/2006/relationships/hyperlink" Target="https://talan.bank.gov.ua/get-user-certificate/J5325KMIJRBNrkes6Sz7" TargetMode="External"/><Relationship Id="rId1873" Type="http://schemas.openxmlformats.org/officeDocument/2006/relationships/hyperlink" Target="https://talan.bank.gov.ua/get-user-certificate/J53257TaS3pDe7z-LniF" TargetMode="External"/><Relationship Id="rId2717" Type="http://schemas.openxmlformats.org/officeDocument/2006/relationships/hyperlink" Target="https://talan.bank.gov.ua/get-user-certificate/J5325urghpPBVQ7cE0hE" TargetMode="External"/><Relationship Id="rId2924" Type="http://schemas.openxmlformats.org/officeDocument/2006/relationships/hyperlink" Target="https://talan.bank.gov.ua/get-user-certificate/J5325ZSHipLXClIPEGiR" TargetMode="External"/><Relationship Id="rId1319" Type="http://schemas.openxmlformats.org/officeDocument/2006/relationships/hyperlink" Target="https://talan.bank.gov.ua/get-user-certificate/J5325bZK1HLhGDXgQjoP" TargetMode="External"/><Relationship Id="rId1526" Type="http://schemas.openxmlformats.org/officeDocument/2006/relationships/hyperlink" Target="https://talan.bank.gov.ua/get-user-certificate/J5325vcL7AeN-RyXB03N" TargetMode="External"/><Relationship Id="rId1733" Type="http://schemas.openxmlformats.org/officeDocument/2006/relationships/hyperlink" Target="https://talan.bank.gov.ua/get-user-certificate/J5325z2nQc5O_J9o2fBG" TargetMode="External"/><Relationship Id="rId1940" Type="http://schemas.openxmlformats.org/officeDocument/2006/relationships/hyperlink" Target="https://talan.bank.gov.ua/get-user-certificate/J5325ySk8bFawZTOaPD0" TargetMode="External"/><Relationship Id="rId25" Type="http://schemas.openxmlformats.org/officeDocument/2006/relationships/hyperlink" Target="https://talan.bank.gov.ua/get-user-certificate/J5325GbC7Y0MZ0X45yEQ" TargetMode="External"/><Relationship Id="rId1800" Type="http://schemas.openxmlformats.org/officeDocument/2006/relationships/hyperlink" Target="https://talan.bank.gov.ua/get-user-certificate/J5325VsVVPLWe2UiUfxx" TargetMode="External"/><Relationship Id="rId3698" Type="http://schemas.openxmlformats.org/officeDocument/2006/relationships/hyperlink" Target="https://talan.bank.gov.ua/get-user-certificate/J5325s76ddvL9LTEM9R8" TargetMode="External"/><Relationship Id="rId3558" Type="http://schemas.openxmlformats.org/officeDocument/2006/relationships/hyperlink" Target="https://talan.bank.gov.ua/get-user-certificate/J5325Vy1vNJvPw_uV1j_" TargetMode="External"/><Relationship Id="rId3765" Type="http://schemas.openxmlformats.org/officeDocument/2006/relationships/hyperlink" Target="https://talan.bank.gov.ua/get-user-certificate/J5325dZxXeReFgc_J3Mr" TargetMode="External"/><Relationship Id="rId3972" Type="http://schemas.openxmlformats.org/officeDocument/2006/relationships/hyperlink" Target="https://talan.bank.gov.ua/get-user-certificate/J5325M8D9_hmgaWSeSqy" TargetMode="External"/><Relationship Id="rId479" Type="http://schemas.openxmlformats.org/officeDocument/2006/relationships/hyperlink" Target="https://talan.bank.gov.ua/get-user-certificate/J5325cr1mmWOQUb31mQi" TargetMode="External"/><Relationship Id="rId686" Type="http://schemas.openxmlformats.org/officeDocument/2006/relationships/hyperlink" Target="https://talan.bank.gov.ua/get-user-certificate/J5325MPTmWVOWhXy0twY" TargetMode="External"/><Relationship Id="rId893" Type="http://schemas.openxmlformats.org/officeDocument/2006/relationships/hyperlink" Target="https://talan.bank.gov.ua/get-user-certificate/J5325yxC1m3PUWuse2JA" TargetMode="External"/><Relationship Id="rId2367" Type="http://schemas.openxmlformats.org/officeDocument/2006/relationships/hyperlink" Target="https://talan.bank.gov.ua/get-user-certificate/J5325IDcn9mYpRbNOFfx" TargetMode="External"/><Relationship Id="rId2574" Type="http://schemas.openxmlformats.org/officeDocument/2006/relationships/hyperlink" Target="https://talan.bank.gov.ua/get-user-certificate/J5325J_VT-pUpLnvsyDV" TargetMode="External"/><Relationship Id="rId2781" Type="http://schemas.openxmlformats.org/officeDocument/2006/relationships/hyperlink" Target="https://talan.bank.gov.ua/get-user-certificate/J5325Taf73HLjAlSkBWq" TargetMode="External"/><Relationship Id="rId3418" Type="http://schemas.openxmlformats.org/officeDocument/2006/relationships/hyperlink" Target="https://talan.bank.gov.ua/get-user-certificate/J5325cvh2mm7VaecdBLe" TargetMode="External"/><Relationship Id="rId3625" Type="http://schemas.openxmlformats.org/officeDocument/2006/relationships/hyperlink" Target="https://talan.bank.gov.ua/get-user-certificate/J5325IETSCXlciMUZAph" TargetMode="External"/><Relationship Id="rId339" Type="http://schemas.openxmlformats.org/officeDocument/2006/relationships/hyperlink" Target="https://talan.bank.gov.ua/get-user-certificate/J5325oUVRScrXmSw27jl" TargetMode="External"/><Relationship Id="rId546" Type="http://schemas.openxmlformats.org/officeDocument/2006/relationships/hyperlink" Target="https://talan.bank.gov.ua/get-user-certificate/J5325k0cLfCz4quStiCf" TargetMode="External"/><Relationship Id="rId753" Type="http://schemas.openxmlformats.org/officeDocument/2006/relationships/hyperlink" Target="https://talan.bank.gov.ua/get-user-certificate/J5325BWDnQxyW4KRV1LO" TargetMode="External"/><Relationship Id="rId1176" Type="http://schemas.openxmlformats.org/officeDocument/2006/relationships/hyperlink" Target="https://talan.bank.gov.ua/get-user-certificate/J5325eaJso4DEu67Ta4I" TargetMode="External"/><Relationship Id="rId1383" Type="http://schemas.openxmlformats.org/officeDocument/2006/relationships/hyperlink" Target="https://talan.bank.gov.ua/get-user-certificate/J53254myLvZiaginWois" TargetMode="External"/><Relationship Id="rId2227" Type="http://schemas.openxmlformats.org/officeDocument/2006/relationships/hyperlink" Target="https://talan.bank.gov.ua/get-user-certificate/J5325w7upjUwG_ywZwy5" TargetMode="External"/><Relationship Id="rId2434" Type="http://schemas.openxmlformats.org/officeDocument/2006/relationships/hyperlink" Target="https://talan.bank.gov.ua/get-user-certificate/J5325U_2nzMQ8nUOeEx7" TargetMode="External"/><Relationship Id="rId3832" Type="http://schemas.openxmlformats.org/officeDocument/2006/relationships/hyperlink" Target="https://talan.bank.gov.ua/get-user-certificate/J53258sFfeAtEoJB_P4R" TargetMode="External"/><Relationship Id="rId406" Type="http://schemas.openxmlformats.org/officeDocument/2006/relationships/hyperlink" Target="https://talan.bank.gov.ua/get-user-certificate/J5325hzMbFD6P3wzt-W1" TargetMode="External"/><Relationship Id="rId960" Type="http://schemas.openxmlformats.org/officeDocument/2006/relationships/hyperlink" Target="https://talan.bank.gov.ua/get-user-certificate/J5325DmzktVLPM-3YcVi" TargetMode="External"/><Relationship Id="rId1036" Type="http://schemas.openxmlformats.org/officeDocument/2006/relationships/hyperlink" Target="https://talan.bank.gov.ua/get-user-certificate/J5325EvRLlcAt2eq9Gga" TargetMode="External"/><Relationship Id="rId1243" Type="http://schemas.openxmlformats.org/officeDocument/2006/relationships/hyperlink" Target="https://talan.bank.gov.ua/get-user-certificate/J5325hpvu0PvrDy5ooHV" TargetMode="External"/><Relationship Id="rId1590" Type="http://schemas.openxmlformats.org/officeDocument/2006/relationships/hyperlink" Target="https://talan.bank.gov.ua/get-user-certificate/J5325gfLbru5Uu_xZ9re" TargetMode="External"/><Relationship Id="rId2641" Type="http://schemas.openxmlformats.org/officeDocument/2006/relationships/hyperlink" Target="https://talan.bank.gov.ua/get-user-certificate/J5325QWhXDyaAmJqEliz" TargetMode="External"/><Relationship Id="rId613" Type="http://schemas.openxmlformats.org/officeDocument/2006/relationships/hyperlink" Target="https://talan.bank.gov.ua/get-user-certificate/J5325usDzJ39y_uWo32L" TargetMode="External"/><Relationship Id="rId820" Type="http://schemas.openxmlformats.org/officeDocument/2006/relationships/hyperlink" Target="https://talan.bank.gov.ua/get-user-certificate/J5325k5H3CUikj494Hen" TargetMode="External"/><Relationship Id="rId1450" Type="http://schemas.openxmlformats.org/officeDocument/2006/relationships/hyperlink" Target="https://talan.bank.gov.ua/get-user-certificate/J53259xwZi9wT9b1f7N1" TargetMode="External"/><Relationship Id="rId2501" Type="http://schemas.openxmlformats.org/officeDocument/2006/relationships/hyperlink" Target="https://talan.bank.gov.ua/get-user-certificate/J53250CGLPzuAZD0QfaS" TargetMode="External"/><Relationship Id="rId1103" Type="http://schemas.openxmlformats.org/officeDocument/2006/relationships/hyperlink" Target="https://talan.bank.gov.ua/get-user-certificate/J5325BBTq2d3zPzuIJ3C" TargetMode="External"/><Relationship Id="rId1310" Type="http://schemas.openxmlformats.org/officeDocument/2006/relationships/hyperlink" Target="https://talan.bank.gov.ua/get-user-certificate/J5325JyrZ133MN38NleS" TargetMode="External"/><Relationship Id="rId4259" Type="http://schemas.openxmlformats.org/officeDocument/2006/relationships/hyperlink" Target="https://talan.bank.gov.ua/get-user-certificate/CYWPH5cKM7Y0BoBWItev" TargetMode="External"/><Relationship Id="rId3068" Type="http://schemas.openxmlformats.org/officeDocument/2006/relationships/hyperlink" Target="https://talan.bank.gov.ua/get-user-certificate/J5325ZpgB2t1SZnP0Dhu" TargetMode="External"/><Relationship Id="rId3275" Type="http://schemas.openxmlformats.org/officeDocument/2006/relationships/hyperlink" Target="https://talan.bank.gov.ua/get-user-certificate/J53256rTBqCHatzqyy7k" TargetMode="External"/><Relationship Id="rId3482" Type="http://schemas.openxmlformats.org/officeDocument/2006/relationships/hyperlink" Target="https://talan.bank.gov.ua/get-user-certificate/J5325vG40HvYBjv2LGnh" TargetMode="External"/><Relationship Id="rId4119" Type="http://schemas.openxmlformats.org/officeDocument/2006/relationships/hyperlink" Target="https://talan.bank.gov.ua/get-user-certificate/J5325wKBE6JlZNswAoV3" TargetMode="External"/><Relationship Id="rId196" Type="http://schemas.openxmlformats.org/officeDocument/2006/relationships/hyperlink" Target="https://talan.bank.gov.ua/get-user-certificate/J53250z-9fdORfrskhAA" TargetMode="External"/><Relationship Id="rId2084" Type="http://schemas.openxmlformats.org/officeDocument/2006/relationships/hyperlink" Target="https://talan.bank.gov.ua/get-user-certificate/J53259CfnrpmnD3UAqc7" TargetMode="External"/><Relationship Id="rId2291" Type="http://schemas.openxmlformats.org/officeDocument/2006/relationships/hyperlink" Target="https://talan.bank.gov.ua/get-user-certificate/J53258PAhyZlfy7U6lUK" TargetMode="External"/><Relationship Id="rId3135" Type="http://schemas.openxmlformats.org/officeDocument/2006/relationships/hyperlink" Target="https://talan.bank.gov.ua/get-user-certificate/J5325y2ZmvpQHNpjNh86" TargetMode="External"/><Relationship Id="rId3342" Type="http://schemas.openxmlformats.org/officeDocument/2006/relationships/hyperlink" Target="https://talan.bank.gov.ua/get-user-certificate/J53255LrImHs7rLB62gv" TargetMode="External"/><Relationship Id="rId263" Type="http://schemas.openxmlformats.org/officeDocument/2006/relationships/hyperlink" Target="https://talan.bank.gov.ua/get-user-certificate/J5325HM1V9HQWQJNxXDU" TargetMode="External"/><Relationship Id="rId470" Type="http://schemas.openxmlformats.org/officeDocument/2006/relationships/hyperlink" Target="https://talan.bank.gov.ua/get-user-certificate/J5325XNli1vpsXeRWHfo" TargetMode="External"/><Relationship Id="rId2151" Type="http://schemas.openxmlformats.org/officeDocument/2006/relationships/hyperlink" Target="https://talan.bank.gov.ua/get-user-certificate/J53257Rb1wPUlydTYGtw" TargetMode="External"/><Relationship Id="rId3202" Type="http://schemas.openxmlformats.org/officeDocument/2006/relationships/hyperlink" Target="https://talan.bank.gov.ua/get-user-certificate/J5325rjFQCQ215dJ11P8" TargetMode="External"/><Relationship Id="rId123" Type="http://schemas.openxmlformats.org/officeDocument/2006/relationships/hyperlink" Target="https://talan.bank.gov.ua/get-user-certificate/J53254xvUrfqEsYMkrIp" TargetMode="External"/><Relationship Id="rId330" Type="http://schemas.openxmlformats.org/officeDocument/2006/relationships/hyperlink" Target="https://talan.bank.gov.ua/get-user-certificate/J5325ezRtRZ-OEM5fibV" TargetMode="External"/><Relationship Id="rId2011" Type="http://schemas.openxmlformats.org/officeDocument/2006/relationships/hyperlink" Target="https://talan.bank.gov.ua/get-user-certificate/J5325QzaNRtNtbWaoMsG" TargetMode="External"/><Relationship Id="rId2968" Type="http://schemas.openxmlformats.org/officeDocument/2006/relationships/hyperlink" Target="https://talan.bank.gov.ua/get-user-certificate/J5325KvcCCw4aKJIkyds" TargetMode="External"/><Relationship Id="rId4183" Type="http://schemas.openxmlformats.org/officeDocument/2006/relationships/hyperlink" Target="https://talan.bank.gov.ua/get-user-certificate/TbxZW7mrPzM1hNmycPMU" TargetMode="External"/><Relationship Id="rId1777" Type="http://schemas.openxmlformats.org/officeDocument/2006/relationships/hyperlink" Target="https://talan.bank.gov.ua/get-user-certificate/J5325Pel-tnLm4Y-1FSB" TargetMode="External"/><Relationship Id="rId1984" Type="http://schemas.openxmlformats.org/officeDocument/2006/relationships/hyperlink" Target="https://talan.bank.gov.ua/get-user-certificate/J5325-FZFGdOy0JVzJQf" TargetMode="External"/><Relationship Id="rId2828" Type="http://schemas.openxmlformats.org/officeDocument/2006/relationships/hyperlink" Target="https://talan.bank.gov.ua/get-user-certificate/J5325GjEQmrk8GcrPCj2" TargetMode="External"/><Relationship Id="rId69" Type="http://schemas.openxmlformats.org/officeDocument/2006/relationships/hyperlink" Target="https://talan.bank.gov.ua/get-user-certificate/J53252nJUaxd6cEEQYfg" TargetMode="External"/><Relationship Id="rId1637" Type="http://schemas.openxmlformats.org/officeDocument/2006/relationships/hyperlink" Target="https://talan.bank.gov.ua/get-user-certificate/J5325oXgG56Z9H_ZOs5I" TargetMode="External"/><Relationship Id="rId1844" Type="http://schemas.openxmlformats.org/officeDocument/2006/relationships/hyperlink" Target="https://talan.bank.gov.ua/get-user-certificate/J5325-sSIQwt82OfDN-P" TargetMode="External"/><Relationship Id="rId4043" Type="http://schemas.openxmlformats.org/officeDocument/2006/relationships/hyperlink" Target="https://talan.bank.gov.ua/get-user-certificate/J53257YpoBX5XVAnFtDo" TargetMode="External"/><Relationship Id="rId4250" Type="http://schemas.openxmlformats.org/officeDocument/2006/relationships/hyperlink" Target="https://talan.bank.gov.ua/get-user-certificate/CYWPHa-0Twj7gc1j-ISy" TargetMode="External"/><Relationship Id="rId1704" Type="http://schemas.openxmlformats.org/officeDocument/2006/relationships/hyperlink" Target="https://talan.bank.gov.ua/get-user-certificate/J5325K1Ix2LiFq3J5FTO" TargetMode="External"/><Relationship Id="rId4110" Type="http://schemas.openxmlformats.org/officeDocument/2006/relationships/hyperlink" Target="https://talan.bank.gov.ua/get-user-certificate/J5325huPriJsR76Hs0_T" TargetMode="External"/><Relationship Id="rId1911" Type="http://schemas.openxmlformats.org/officeDocument/2006/relationships/hyperlink" Target="https://talan.bank.gov.ua/get-user-certificate/J5325986z6nlLjSMXaXk" TargetMode="External"/><Relationship Id="rId3669" Type="http://schemas.openxmlformats.org/officeDocument/2006/relationships/hyperlink" Target="https://talan.bank.gov.ua/get-user-certificate/J5325tuFArBCPlM_Lsdf" TargetMode="External"/><Relationship Id="rId797" Type="http://schemas.openxmlformats.org/officeDocument/2006/relationships/hyperlink" Target="https://talan.bank.gov.ua/get-user-certificate/J5325Cs5m6ZIyvdyMtiv" TargetMode="External"/><Relationship Id="rId2478" Type="http://schemas.openxmlformats.org/officeDocument/2006/relationships/hyperlink" Target="https://talan.bank.gov.ua/get-user-certificate/J5325JbAqLsDl2oXNYIr" TargetMode="External"/><Relationship Id="rId3876" Type="http://schemas.openxmlformats.org/officeDocument/2006/relationships/hyperlink" Target="https://talan.bank.gov.ua/get-user-certificate/J53251hWpc0ehmzBKh8L" TargetMode="External"/><Relationship Id="rId1287" Type="http://schemas.openxmlformats.org/officeDocument/2006/relationships/hyperlink" Target="https://talan.bank.gov.ua/get-user-certificate/J5325JGardEA_-kABZ3F" TargetMode="External"/><Relationship Id="rId2685" Type="http://schemas.openxmlformats.org/officeDocument/2006/relationships/hyperlink" Target="https://talan.bank.gov.ua/get-user-certificate/J53250Rvmo4OuVygWGN4" TargetMode="External"/><Relationship Id="rId2892" Type="http://schemas.openxmlformats.org/officeDocument/2006/relationships/hyperlink" Target="https://talan.bank.gov.ua/get-user-certificate/J5325AWIhaOmYMNpbzEh" TargetMode="External"/><Relationship Id="rId3529" Type="http://schemas.openxmlformats.org/officeDocument/2006/relationships/hyperlink" Target="https://talan.bank.gov.ua/get-user-certificate/J5325tU0OBC0APvn-1QH" TargetMode="External"/><Relationship Id="rId3736" Type="http://schemas.openxmlformats.org/officeDocument/2006/relationships/hyperlink" Target="https://talan.bank.gov.ua/get-user-certificate/J5325BmVaQ511vttDfRN" TargetMode="External"/><Relationship Id="rId3943" Type="http://schemas.openxmlformats.org/officeDocument/2006/relationships/hyperlink" Target="https://talan.bank.gov.ua/get-user-certificate/J5325Gt-aRC-CUTG0fk8" TargetMode="External"/><Relationship Id="rId657" Type="http://schemas.openxmlformats.org/officeDocument/2006/relationships/hyperlink" Target="https://talan.bank.gov.ua/get-user-certificate/J5325SLKp9B6eE5RMiNS" TargetMode="External"/><Relationship Id="rId864" Type="http://schemas.openxmlformats.org/officeDocument/2006/relationships/hyperlink" Target="https://talan.bank.gov.ua/get-user-certificate/J5325IpCgh0CT0QAvN8p" TargetMode="External"/><Relationship Id="rId1494" Type="http://schemas.openxmlformats.org/officeDocument/2006/relationships/hyperlink" Target="https://talan.bank.gov.ua/get-user-certificate/J5325DASEIRJxpgT_Y_n" TargetMode="External"/><Relationship Id="rId2338" Type="http://schemas.openxmlformats.org/officeDocument/2006/relationships/hyperlink" Target="https://talan.bank.gov.ua/get-user-certificate/J53256L_seFczW5ObXWt" TargetMode="External"/><Relationship Id="rId2545" Type="http://schemas.openxmlformats.org/officeDocument/2006/relationships/hyperlink" Target="https://talan.bank.gov.ua/get-user-certificate/J5325jS67i7dWpLHYR34" TargetMode="External"/><Relationship Id="rId2752" Type="http://schemas.openxmlformats.org/officeDocument/2006/relationships/hyperlink" Target="https://talan.bank.gov.ua/get-user-certificate/J5325nqBlpFLhaKkYKYz" TargetMode="External"/><Relationship Id="rId3803" Type="http://schemas.openxmlformats.org/officeDocument/2006/relationships/hyperlink" Target="https://talan.bank.gov.ua/get-user-certificate/J5325yCRS1-VRpd13EOM" TargetMode="External"/><Relationship Id="rId517" Type="http://schemas.openxmlformats.org/officeDocument/2006/relationships/hyperlink" Target="https://talan.bank.gov.ua/get-user-certificate/J5325ivQyPVLca92-cXn" TargetMode="External"/><Relationship Id="rId724" Type="http://schemas.openxmlformats.org/officeDocument/2006/relationships/hyperlink" Target="https://talan.bank.gov.ua/get-user-certificate/J5325sLAW-mwgdbWQJ8A" TargetMode="External"/><Relationship Id="rId931" Type="http://schemas.openxmlformats.org/officeDocument/2006/relationships/hyperlink" Target="https://talan.bank.gov.ua/get-user-certificate/J5325_v1P92ryBb-8AFv" TargetMode="External"/><Relationship Id="rId1147" Type="http://schemas.openxmlformats.org/officeDocument/2006/relationships/hyperlink" Target="https://talan.bank.gov.ua/get-user-certificate/J53250Ajqd7ii8lEjQAU" TargetMode="External"/><Relationship Id="rId1354" Type="http://schemas.openxmlformats.org/officeDocument/2006/relationships/hyperlink" Target="https://talan.bank.gov.ua/get-user-certificate/J5325szm8HIQZUfalSPJ" TargetMode="External"/><Relationship Id="rId1561" Type="http://schemas.openxmlformats.org/officeDocument/2006/relationships/hyperlink" Target="https://talan.bank.gov.ua/get-user-certificate/J5325XlGSMnwTdWL-0Oi" TargetMode="External"/><Relationship Id="rId2405" Type="http://schemas.openxmlformats.org/officeDocument/2006/relationships/hyperlink" Target="https://talan.bank.gov.ua/get-user-certificate/J5325M2D-lj9kDry5qIy" TargetMode="External"/><Relationship Id="rId2612" Type="http://schemas.openxmlformats.org/officeDocument/2006/relationships/hyperlink" Target="https://talan.bank.gov.ua/get-user-certificate/J5325OriI702tdcxMjrH" TargetMode="External"/><Relationship Id="rId60" Type="http://schemas.openxmlformats.org/officeDocument/2006/relationships/hyperlink" Target="https://talan.bank.gov.ua/get-user-certificate/J5325bPzxmJEEnmqMQ5_" TargetMode="External"/><Relationship Id="rId1007" Type="http://schemas.openxmlformats.org/officeDocument/2006/relationships/hyperlink" Target="https://talan.bank.gov.ua/get-user-certificate/J5325eXHKx-McssBX44x" TargetMode="External"/><Relationship Id="rId1214" Type="http://schemas.openxmlformats.org/officeDocument/2006/relationships/hyperlink" Target="https://talan.bank.gov.ua/get-user-certificate/J5325DDqQtZmRmr5tCUL" TargetMode="External"/><Relationship Id="rId1421" Type="http://schemas.openxmlformats.org/officeDocument/2006/relationships/hyperlink" Target="https://talan.bank.gov.ua/get-user-certificate/J5325_DJKcVw6EqgH77f" TargetMode="External"/><Relationship Id="rId3179" Type="http://schemas.openxmlformats.org/officeDocument/2006/relationships/hyperlink" Target="https://talan.bank.gov.ua/get-user-certificate/J5325qvZUUO7Ydey4I5W" TargetMode="External"/><Relationship Id="rId3386" Type="http://schemas.openxmlformats.org/officeDocument/2006/relationships/hyperlink" Target="https://talan.bank.gov.ua/get-user-certificate/J5325E73VNRz1U7kpf7I" TargetMode="External"/><Relationship Id="rId3593" Type="http://schemas.openxmlformats.org/officeDocument/2006/relationships/hyperlink" Target="https://talan.bank.gov.ua/get-user-certificate/J5325ONey6p7UxGnrvO4" TargetMode="External"/><Relationship Id="rId2195" Type="http://schemas.openxmlformats.org/officeDocument/2006/relationships/hyperlink" Target="https://talan.bank.gov.ua/get-user-certificate/J5325ezn7xpTBfIH6rrc" TargetMode="External"/><Relationship Id="rId3039" Type="http://schemas.openxmlformats.org/officeDocument/2006/relationships/hyperlink" Target="https://talan.bank.gov.ua/get-user-certificate/J5325H2LQJIqvQ2UYVGZ" TargetMode="External"/><Relationship Id="rId3246" Type="http://schemas.openxmlformats.org/officeDocument/2006/relationships/hyperlink" Target="https://talan.bank.gov.ua/get-user-certificate/J53253vkkUhFjNKeDpg6" TargetMode="External"/><Relationship Id="rId3453" Type="http://schemas.openxmlformats.org/officeDocument/2006/relationships/hyperlink" Target="https://talan.bank.gov.ua/get-user-certificate/J53251pMGcZQIKNl2ZJk" TargetMode="External"/><Relationship Id="rId167" Type="http://schemas.openxmlformats.org/officeDocument/2006/relationships/hyperlink" Target="https://talan.bank.gov.ua/get-user-certificate/J5325xm0qw1yfRfLioLl" TargetMode="External"/><Relationship Id="rId374" Type="http://schemas.openxmlformats.org/officeDocument/2006/relationships/hyperlink" Target="https://talan.bank.gov.ua/get-user-certificate/J53254H3cUHqU6lWzihR" TargetMode="External"/><Relationship Id="rId581" Type="http://schemas.openxmlformats.org/officeDocument/2006/relationships/hyperlink" Target="https://talan.bank.gov.ua/get-user-certificate/J5325SJzfWpj83V5f-_g" TargetMode="External"/><Relationship Id="rId2055" Type="http://schemas.openxmlformats.org/officeDocument/2006/relationships/hyperlink" Target="https://talan.bank.gov.ua/get-user-certificate/J5325ATz6EhTEtF1sz1q" TargetMode="External"/><Relationship Id="rId2262" Type="http://schemas.openxmlformats.org/officeDocument/2006/relationships/hyperlink" Target="https://talan.bank.gov.ua/get-user-certificate/J5325Np32zR2m8jjp4jc" TargetMode="External"/><Relationship Id="rId3106" Type="http://schemas.openxmlformats.org/officeDocument/2006/relationships/hyperlink" Target="https://talan.bank.gov.ua/get-user-certificate/J5325r9fB9kN7Ol61I9A" TargetMode="External"/><Relationship Id="rId3660" Type="http://schemas.openxmlformats.org/officeDocument/2006/relationships/hyperlink" Target="https://talan.bank.gov.ua/get-user-certificate/J5325JbFR-57exOR3s_h" TargetMode="External"/><Relationship Id="rId234" Type="http://schemas.openxmlformats.org/officeDocument/2006/relationships/hyperlink" Target="https://talan.bank.gov.ua/get-user-certificate/J5325nnQJY2-5Dm_8QIf" TargetMode="External"/><Relationship Id="rId3313" Type="http://schemas.openxmlformats.org/officeDocument/2006/relationships/hyperlink" Target="https://talan.bank.gov.ua/get-user-certificate/J5325I-oFtUPFUrvv5oe" TargetMode="External"/><Relationship Id="rId3520" Type="http://schemas.openxmlformats.org/officeDocument/2006/relationships/hyperlink" Target="https://talan.bank.gov.ua/get-user-certificate/J5325IfXkZA0ZcWClcPm" TargetMode="External"/><Relationship Id="rId441" Type="http://schemas.openxmlformats.org/officeDocument/2006/relationships/hyperlink" Target="https://talan.bank.gov.ua/get-user-certificate/J5325pPbF_GOm2PZRMtU" TargetMode="External"/><Relationship Id="rId1071" Type="http://schemas.openxmlformats.org/officeDocument/2006/relationships/hyperlink" Target="https://talan.bank.gov.ua/get-user-certificate/J5325Bc4c-QfCJXGqtGX" TargetMode="External"/><Relationship Id="rId2122" Type="http://schemas.openxmlformats.org/officeDocument/2006/relationships/hyperlink" Target="https://talan.bank.gov.ua/get-user-certificate/J5325UD2kgCBt0Xgqs2r" TargetMode="External"/><Relationship Id="rId301" Type="http://schemas.openxmlformats.org/officeDocument/2006/relationships/hyperlink" Target="https://talan.bank.gov.ua/get-user-certificate/J5325WrGn2ZVBN4WUG1J" TargetMode="External"/><Relationship Id="rId1888" Type="http://schemas.openxmlformats.org/officeDocument/2006/relationships/hyperlink" Target="https://talan.bank.gov.ua/get-user-certificate/J5325l5DjbI5WuEjrjdn" TargetMode="External"/><Relationship Id="rId2939" Type="http://schemas.openxmlformats.org/officeDocument/2006/relationships/hyperlink" Target="https://talan.bank.gov.ua/get-user-certificate/J5325RligvduAMk_h440" TargetMode="External"/><Relationship Id="rId4087" Type="http://schemas.openxmlformats.org/officeDocument/2006/relationships/hyperlink" Target="https://talan.bank.gov.ua/get-user-certificate/J5325vmsN6bXiwe6UieH" TargetMode="External"/><Relationship Id="rId1748" Type="http://schemas.openxmlformats.org/officeDocument/2006/relationships/hyperlink" Target="https://talan.bank.gov.ua/get-user-certificate/J53256_Y0n8ffyc-AyXw" TargetMode="External"/><Relationship Id="rId4154" Type="http://schemas.openxmlformats.org/officeDocument/2006/relationships/hyperlink" Target="https://talan.bank.gov.ua/get-user-certificate/J5325brQ3KgKoGlNaiRU" TargetMode="External"/><Relationship Id="rId1955" Type="http://schemas.openxmlformats.org/officeDocument/2006/relationships/hyperlink" Target="https://talan.bank.gov.ua/get-user-certificate/J5325n3xrwKrnc63QyL8" TargetMode="External"/><Relationship Id="rId3170" Type="http://schemas.openxmlformats.org/officeDocument/2006/relationships/hyperlink" Target="https://talan.bank.gov.ua/get-user-certificate/J5325ETVTstDttgDXg5A" TargetMode="External"/><Relationship Id="rId4014" Type="http://schemas.openxmlformats.org/officeDocument/2006/relationships/hyperlink" Target="https://talan.bank.gov.ua/get-user-certificate/J5325I5gGopMs-zFmHbw" TargetMode="External"/><Relationship Id="rId4221" Type="http://schemas.openxmlformats.org/officeDocument/2006/relationships/hyperlink" Target="https://talan.bank.gov.ua/get-user-certificate/CYWPHWKGcN6TqFlG739d" TargetMode="External"/><Relationship Id="rId1608" Type="http://schemas.openxmlformats.org/officeDocument/2006/relationships/hyperlink" Target="https://talan.bank.gov.ua/get-user-certificate/J5325S8HRTtoZfnfDrg-" TargetMode="External"/><Relationship Id="rId1815" Type="http://schemas.openxmlformats.org/officeDocument/2006/relationships/hyperlink" Target="https://talan.bank.gov.ua/get-user-certificate/J5325SG7d4MHgoAhjXrH" TargetMode="External"/><Relationship Id="rId3030" Type="http://schemas.openxmlformats.org/officeDocument/2006/relationships/hyperlink" Target="https://talan.bank.gov.ua/get-user-certificate/J5325c7ZKqodEvS5TXvg" TargetMode="External"/><Relationship Id="rId3987" Type="http://schemas.openxmlformats.org/officeDocument/2006/relationships/hyperlink" Target="https://talan.bank.gov.ua/get-user-certificate/J5325TyV-_F9xZYZvrZM" TargetMode="External"/><Relationship Id="rId2589" Type="http://schemas.openxmlformats.org/officeDocument/2006/relationships/hyperlink" Target="https://talan.bank.gov.ua/get-user-certificate/J5325LUgxF4Bnn---js7" TargetMode="External"/><Relationship Id="rId2796" Type="http://schemas.openxmlformats.org/officeDocument/2006/relationships/hyperlink" Target="https://talan.bank.gov.ua/get-user-certificate/J5325GkeHexS32S5Lgy2" TargetMode="External"/><Relationship Id="rId3847" Type="http://schemas.openxmlformats.org/officeDocument/2006/relationships/hyperlink" Target="https://talan.bank.gov.ua/get-user-certificate/J5325yhkwki9RIsDivbm" TargetMode="External"/><Relationship Id="rId768" Type="http://schemas.openxmlformats.org/officeDocument/2006/relationships/hyperlink" Target="https://talan.bank.gov.ua/get-user-certificate/J5325WA3EsbsDepRJGD_" TargetMode="External"/><Relationship Id="rId975" Type="http://schemas.openxmlformats.org/officeDocument/2006/relationships/hyperlink" Target="https://talan.bank.gov.ua/get-user-certificate/J5325GRNtw9jL9TVoeX_" TargetMode="External"/><Relationship Id="rId1398" Type="http://schemas.openxmlformats.org/officeDocument/2006/relationships/hyperlink" Target="https://talan.bank.gov.ua/get-user-certificate/J5325mlJb8S-4OhvvNWP" TargetMode="External"/><Relationship Id="rId2449" Type="http://schemas.openxmlformats.org/officeDocument/2006/relationships/hyperlink" Target="https://talan.bank.gov.ua/get-user-certificate/J5325gEh5ynDmEE_nLsG" TargetMode="External"/><Relationship Id="rId2656" Type="http://schemas.openxmlformats.org/officeDocument/2006/relationships/hyperlink" Target="https://talan.bank.gov.ua/get-user-certificate/J5325fuXZCj5ZX4OffI-" TargetMode="External"/><Relationship Id="rId2863" Type="http://schemas.openxmlformats.org/officeDocument/2006/relationships/hyperlink" Target="https://talan.bank.gov.ua/get-user-certificate/J5325Ff-4gFChlR8z2hK" TargetMode="External"/><Relationship Id="rId3707" Type="http://schemas.openxmlformats.org/officeDocument/2006/relationships/hyperlink" Target="https://talan.bank.gov.ua/get-user-certificate/J5325OjpZmzlRtchA4_X" TargetMode="External"/><Relationship Id="rId3914" Type="http://schemas.openxmlformats.org/officeDocument/2006/relationships/hyperlink" Target="https://talan.bank.gov.ua/get-user-certificate/J5325Vm38Msj0G6KJ19W" TargetMode="External"/><Relationship Id="rId628" Type="http://schemas.openxmlformats.org/officeDocument/2006/relationships/hyperlink" Target="https://talan.bank.gov.ua/get-user-certificate/J5325rLidUduK72tcPwH" TargetMode="External"/><Relationship Id="rId835" Type="http://schemas.openxmlformats.org/officeDocument/2006/relationships/hyperlink" Target="https://talan.bank.gov.ua/get-user-certificate/J5325qyFl8Jj7Yg0hMvQ" TargetMode="External"/><Relationship Id="rId1258" Type="http://schemas.openxmlformats.org/officeDocument/2006/relationships/hyperlink" Target="https://talan.bank.gov.ua/get-user-certificate/J53255YsyEctpNHXfPXb" TargetMode="External"/><Relationship Id="rId1465" Type="http://schemas.openxmlformats.org/officeDocument/2006/relationships/hyperlink" Target="https://talan.bank.gov.ua/get-user-certificate/J5325vx8RCC-IScOonfC" TargetMode="External"/><Relationship Id="rId1672" Type="http://schemas.openxmlformats.org/officeDocument/2006/relationships/hyperlink" Target="https://talan.bank.gov.ua/get-user-certificate/J5325Iz8Peglmjvk13dN" TargetMode="External"/><Relationship Id="rId2309" Type="http://schemas.openxmlformats.org/officeDocument/2006/relationships/hyperlink" Target="https://talan.bank.gov.ua/get-user-certificate/J53252cULswGEj9tfodu" TargetMode="External"/><Relationship Id="rId2516" Type="http://schemas.openxmlformats.org/officeDocument/2006/relationships/hyperlink" Target="https://talan.bank.gov.ua/get-user-certificate/J5325G3ealqKkaCwdZWq" TargetMode="External"/><Relationship Id="rId2723" Type="http://schemas.openxmlformats.org/officeDocument/2006/relationships/hyperlink" Target="https://talan.bank.gov.ua/get-user-certificate/J5325her8CuiNiUT3Y_A" TargetMode="External"/><Relationship Id="rId1118" Type="http://schemas.openxmlformats.org/officeDocument/2006/relationships/hyperlink" Target="https://talan.bank.gov.ua/get-user-certificate/J5325QaMyNe_PygITwLr" TargetMode="External"/><Relationship Id="rId1325" Type="http://schemas.openxmlformats.org/officeDocument/2006/relationships/hyperlink" Target="https://talan.bank.gov.ua/get-user-certificate/J5325Q6SeU71hMoEudCh" TargetMode="External"/><Relationship Id="rId1532" Type="http://schemas.openxmlformats.org/officeDocument/2006/relationships/hyperlink" Target="https://talan.bank.gov.ua/get-user-certificate/J5325P0M0iFh-ma1NBri" TargetMode="External"/><Relationship Id="rId2930" Type="http://schemas.openxmlformats.org/officeDocument/2006/relationships/hyperlink" Target="https://talan.bank.gov.ua/get-user-certificate/J5325oPxMpwoz3HDzp2b" TargetMode="External"/><Relationship Id="rId902" Type="http://schemas.openxmlformats.org/officeDocument/2006/relationships/hyperlink" Target="https://talan.bank.gov.ua/get-user-certificate/J5325xq_bPQVnKhfTmqQ" TargetMode="External"/><Relationship Id="rId3497" Type="http://schemas.openxmlformats.org/officeDocument/2006/relationships/hyperlink" Target="https://talan.bank.gov.ua/get-user-certificate/J5325VRd9hP2yrPH3ne1" TargetMode="External"/><Relationship Id="rId31" Type="http://schemas.openxmlformats.org/officeDocument/2006/relationships/hyperlink" Target="https://talan.bank.gov.ua/get-user-certificate/J5325qaOe6yeLWJYh4uy" TargetMode="External"/><Relationship Id="rId2099" Type="http://schemas.openxmlformats.org/officeDocument/2006/relationships/hyperlink" Target="https://talan.bank.gov.ua/get-user-certificate/J53255mZp6-RdScTkqZ1" TargetMode="External"/><Relationship Id="rId278" Type="http://schemas.openxmlformats.org/officeDocument/2006/relationships/hyperlink" Target="https://talan.bank.gov.ua/get-user-certificate/J53254JoqKjIQq8bu0Tw" TargetMode="External"/><Relationship Id="rId3357" Type="http://schemas.openxmlformats.org/officeDocument/2006/relationships/hyperlink" Target="https://talan.bank.gov.ua/get-user-certificate/J5325V8GaTTKCV8JChz0" TargetMode="External"/><Relationship Id="rId3564" Type="http://schemas.openxmlformats.org/officeDocument/2006/relationships/hyperlink" Target="https://talan.bank.gov.ua/get-user-certificate/J5325vJFIblSSbgRB-1a" TargetMode="External"/><Relationship Id="rId3771" Type="http://schemas.openxmlformats.org/officeDocument/2006/relationships/hyperlink" Target="https://talan.bank.gov.ua/get-user-certificate/J5325Bkcl2wHFnxqveKS" TargetMode="External"/><Relationship Id="rId485" Type="http://schemas.openxmlformats.org/officeDocument/2006/relationships/hyperlink" Target="https://talan.bank.gov.ua/get-user-certificate/J5325mFrxhR0R3Ggjc91" TargetMode="External"/><Relationship Id="rId692" Type="http://schemas.openxmlformats.org/officeDocument/2006/relationships/hyperlink" Target="https://talan.bank.gov.ua/get-user-certificate/J53252-R3u-kn_GyCipu" TargetMode="External"/><Relationship Id="rId2166" Type="http://schemas.openxmlformats.org/officeDocument/2006/relationships/hyperlink" Target="https://talan.bank.gov.ua/get-user-certificate/J5325N4qld2L1vyb6kWn" TargetMode="External"/><Relationship Id="rId2373" Type="http://schemas.openxmlformats.org/officeDocument/2006/relationships/hyperlink" Target="https://talan.bank.gov.ua/get-user-certificate/J53254xY0kcXNa4ozX7H" TargetMode="External"/><Relationship Id="rId2580" Type="http://schemas.openxmlformats.org/officeDocument/2006/relationships/hyperlink" Target="https://talan.bank.gov.ua/get-user-certificate/J53257k3QdhT9O3_2zjW" TargetMode="External"/><Relationship Id="rId3217" Type="http://schemas.openxmlformats.org/officeDocument/2006/relationships/hyperlink" Target="https://talan.bank.gov.ua/get-user-certificate/J5325CophehP8NnK5d6z" TargetMode="External"/><Relationship Id="rId3424" Type="http://schemas.openxmlformats.org/officeDocument/2006/relationships/hyperlink" Target="https://talan.bank.gov.ua/get-user-certificate/J5325r7iF20wJnkvsVLw" TargetMode="External"/><Relationship Id="rId3631" Type="http://schemas.openxmlformats.org/officeDocument/2006/relationships/hyperlink" Target="https://talan.bank.gov.ua/get-user-certificate/J5325RuTSA7W5rWAlL4b" TargetMode="External"/><Relationship Id="rId138" Type="http://schemas.openxmlformats.org/officeDocument/2006/relationships/hyperlink" Target="https://talan.bank.gov.ua/get-user-certificate/J5325KELBgQcYvh-j6sm" TargetMode="External"/><Relationship Id="rId345" Type="http://schemas.openxmlformats.org/officeDocument/2006/relationships/hyperlink" Target="https://talan.bank.gov.ua/get-user-certificate/J5325-epae6uLJXi0gUU" TargetMode="External"/><Relationship Id="rId552" Type="http://schemas.openxmlformats.org/officeDocument/2006/relationships/hyperlink" Target="https://talan.bank.gov.ua/get-user-certificate/J5325WpDe6IWGQIAwYu7" TargetMode="External"/><Relationship Id="rId1182" Type="http://schemas.openxmlformats.org/officeDocument/2006/relationships/hyperlink" Target="https://talan.bank.gov.ua/get-user-certificate/J5325tBt2WzMrISTmgNS" TargetMode="External"/><Relationship Id="rId2026" Type="http://schemas.openxmlformats.org/officeDocument/2006/relationships/hyperlink" Target="https://talan.bank.gov.ua/get-user-certificate/J53257iKwaYHDFR3MCLb" TargetMode="External"/><Relationship Id="rId2233" Type="http://schemas.openxmlformats.org/officeDocument/2006/relationships/hyperlink" Target="https://talan.bank.gov.ua/get-user-certificate/J5325jqK_3Mn8Iiu9wCy" TargetMode="External"/><Relationship Id="rId2440" Type="http://schemas.openxmlformats.org/officeDocument/2006/relationships/hyperlink" Target="https://talan.bank.gov.ua/get-user-certificate/J5325DiR9M8okpjnlpTc" TargetMode="External"/><Relationship Id="rId205" Type="http://schemas.openxmlformats.org/officeDocument/2006/relationships/hyperlink" Target="https://talan.bank.gov.ua/get-user-certificate/J5325s5jbLHTdyTUlbsn" TargetMode="External"/><Relationship Id="rId412" Type="http://schemas.openxmlformats.org/officeDocument/2006/relationships/hyperlink" Target="https://talan.bank.gov.ua/get-user-certificate/J5325o0m_i-en6cudHAK" TargetMode="External"/><Relationship Id="rId1042" Type="http://schemas.openxmlformats.org/officeDocument/2006/relationships/hyperlink" Target="https://talan.bank.gov.ua/get-user-certificate/J5325rUQeg5pw5BuQQTG" TargetMode="External"/><Relationship Id="rId2300" Type="http://schemas.openxmlformats.org/officeDocument/2006/relationships/hyperlink" Target="https://talan.bank.gov.ua/get-user-certificate/J5325cGO3YWElfmCjLLo" TargetMode="External"/><Relationship Id="rId4198" Type="http://schemas.openxmlformats.org/officeDocument/2006/relationships/hyperlink" Target="https://talan.bank.gov.ua/get-user-certificate/TbxZWeNK_tyGbnYDnLQ3" TargetMode="External"/><Relationship Id="rId1999" Type="http://schemas.openxmlformats.org/officeDocument/2006/relationships/hyperlink" Target="https://talan.bank.gov.ua/get-user-certificate/J5325OAq5iWs-D-6vT1O" TargetMode="External"/><Relationship Id="rId4058" Type="http://schemas.openxmlformats.org/officeDocument/2006/relationships/hyperlink" Target="https://talan.bank.gov.ua/get-user-certificate/J5325FmOFoy-bKFX3ubP" TargetMode="External"/><Relationship Id="rId1859" Type="http://schemas.openxmlformats.org/officeDocument/2006/relationships/hyperlink" Target="https://talan.bank.gov.ua/get-user-certificate/J5325lfLmpQVSk2SjVxC" TargetMode="External"/><Relationship Id="rId3074" Type="http://schemas.openxmlformats.org/officeDocument/2006/relationships/hyperlink" Target="https://talan.bank.gov.ua/get-user-certificate/J5325zyHLZU1gzHPiICv" TargetMode="External"/><Relationship Id="rId4125" Type="http://schemas.openxmlformats.org/officeDocument/2006/relationships/hyperlink" Target="https://talan.bank.gov.ua/get-user-certificate/J5325DRRWxbT39kkP6rV" TargetMode="External"/><Relationship Id="rId1719" Type="http://schemas.openxmlformats.org/officeDocument/2006/relationships/hyperlink" Target="https://talan.bank.gov.ua/get-user-certificate/J5325SvAFxmjs_7qacRS" TargetMode="External"/><Relationship Id="rId1926" Type="http://schemas.openxmlformats.org/officeDocument/2006/relationships/hyperlink" Target="https://talan.bank.gov.ua/get-user-certificate/J5325Z-7sWTKfVFfejiE" TargetMode="External"/><Relationship Id="rId3281" Type="http://schemas.openxmlformats.org/officeDocument/2006/relationships/hyperlink" Target="https://talan.bank.gov.ua/get-user-certificate/J5325TNrnhoyefY9Duht" TargetMode="External"/><Relationship Id="rId2090" Type="http://schemas.openxmlformats.org/officeDocument/2006/relationships/hyperlink" Target="https://talan.bank.gov.ua/get-user-certificate/J5325e5U-8j3FIu7Supn" TargetMode="External"/><Relationship Id="rId3141" Type="http://schemas.openxmlformats.org/officeDocument/2006/relationships/hyperlink" Target="https://talan.bank.gov.ua/get-user-certificate/J5325tWt2f9wkygAwJNb" TargetMode="External"/><Relationship Id="rId3001" Type="http://schemas.openxmlformats.org/officeDocument/2006/relationships/hyperlink" Target="https://talan.bank.gov.ua/get-user-certificate/J5325W8vrTjvVEp8Rlmr" TargetMode="External"/><Relationship Id="rId3958" Type="http://schemas.openxmlformats.org/officeDocument/2006/relationships/hyperlink" Target="https://talan.bank.gov.ua/get-user-certificate/J5325B7EmUjTSQV1vLjg" TargetMode="External"/><Relationship Id="rId879" Type="http://schemas.openxmlformats.org/officeDocument/2006/relationships/hyperlink" Target="https://talan.bank.gov.ua/get-user-certificate/J5325o4uO5_DCZhRZ3dP" TargetMode="External"/><Relationship Id="rId2767" Type="http://schemas.openxmlformats.org/officeDocument/2006/relationships/hyperlink" Target="https://talan.bank.gov.ua/get-user-certificate/J5325vR83fZLuJRSBSLi" TargetMode="External"/><Relationship Id="rId739" Type="http://schemas.openxmlformats.org/officeDocument/2006/relationships/hyperlink" Target="https://talan.bank.gov.ua/get-user-certificate/J5325Q9sukP36l9qK55o" TargetMode="External"/><Relationship Id="rId1369" Type="http://schemas.openxmlformats.org/officeDocument/2006/relationships/hyperlink" Target="https://talan.bank.gov.ua/get-user-certificate/J5325toBItmvq7n-oTzs" TargetMode="External"/><Relationship Id="rId1576" Type="http://schemas.openxmlformats.org/officeDocument/2006/relationships/hyperlink" Target="https://talan.bank.gov.ua/get-user-certificate/J5325B910VvkrERxz65_" TargetMode="External"/><Relationship Id="rId2974" Type="http://schemas.openxmlformats.org/officeDocument/2006/relationships/hyperlink" Target="https://talan.bank.gov.ua/get-user-certificate/J5325xYD-nOcdcJg3ZnD" TargetMode="External"/><Relationship Id="rId3818" Type="http://schemas.openxmlformats.org/officeDocument/2006/relationships/hyperlink" Target="https://talan.bank.gov.ua/get-user-certificate/J53259F8_tItg64HNXAl" TargetMode="External"/><Relationship Id="rId946" Type="http://schemas.openxmlformats.org/officeDocument/2006/relationships/hyperlink" Target="https://talan.bank.gov.ua/get-user-certificate/J5325-wsteA5ZboZ4X8J" TargetMode="External"/><Relationship Id="rId1229" Type="http://schemas.openxmlformats.org/officeDocument/2006/relationships/hyperlink" Target="https://talan.bank.gov.ua/get-user-certificate/J5325gstQKxHQzyH3XfR" TargetMode="External"/><Relationship Id="rId1783" Type="http://schemas.openxmlformats.org/officeDocument/2006/relationships/hyperlink" Target="https://talan.bank.gov.ua/get-user-certificate/J5325wvPBqOGypwHuFza" TargetMode="External"/><Relationship Id="rId1990" Type="http://schemas.openxmlformats.org/officeDocument/2006/relationships/hyperlink" Target="https://talan.bank.gov.ua/get-user-certificate/J5325bLct7F7KHVwE3_2" TargetMode="External"/><Relationship Id="rId2627" Type="http://schemas.openxmlformats.org/officeDocument/2006/relationships/hyperlink" Target="https://talan.bank.gov.ua/get-user-certificate/J5325mgRxA8iATjxqeC6" TargetMode="External"/><Relationship Id="rId2834" Type="http://schemas.openxmlformats.org/officeDocument/2006/relationships/hyperlink" Target="https://talan.bank.gov.ua/get-user-certificate/J5325IiEg7op2siXH-wP" TargetMode="External"/><Relationship Id="rId75" Type="http://schemas.openxmlformats.org/officeDocument/2006/relationships/hyperlink" Target="https://talan.bank.gov.ua/get-user-certificate/J53256cfLY3zEjOLDBbk" TargetMode="External"/><Relationship Id="rId806" Type="http://schemas.openxmlformats.org/officeDocument/2006/relationships/hyperlink" Target="https://talan.bank.gov.ua/get-user-certificate/J5325VRCEK8mP-bZom83" TargetMode="External"/><Relationship Id="rId1436" Type="http://schemas.openxmlformats.org/officeDocument/2006/relationships/hyperlink" Target="https://talan.bank.gov.ua/get-user-certificate/J5325PEaqHR6bsMV0149" TargetMode="External"/><Relationship Id="rId1643" Type="http://schemas.openxmlformats.org/officeDocument/2006/relationships/hyperlink" Target="https://talan.bank.gov.ua/get-user-certificate/J5325pKMPpxRlt6KhYOZ" TargetMode="External"/><Relationship Id="rId1850" Type="http://schemas.openxmlformats.org/officeDocument/2006/relationships/hyperlink" Target="https://talan.bank.gov.ua/get-user-certificate/J5325XeEYOJvIn-VOboA" TargetMode="External"/><Relationship Id="rId2901" Type="http://schemas.openxmlformats.org/officeDocument/2006/relationships/hyperlink" Target="https://talan.bank.gov.ua/get-user-certificate/J5325ppsPSZec6dH9XPZ" TargetMode="External"/><Relationship Id="rId1503" Type="http://schemas.openxmlformats.org/officeDocument/2006/relationships/hyperlink" Target="https://talan.bank.gov.ua/get-user-certificate/J5325MmND_GDAEMJ9XcR" TargetMode="External"/><Relationship Id="rId1710" Type="http://schemas.openxmlformats.org/officeDocument/2006/relationships/hyperlink" Target="https://talan.bank.gov.ua/get-user-certificate/J5325ekzcDH_Y0_6VHia" TargetMode="External"/><Relationship Id="rId3468" Type="http://schemas.openxmlformats.org/officeDocument/2006/relationships/hyperlink" Target="https://talan.bank.gov.ua/get-user-certificate/J5325k3iC_aORDc5q2Pe" TargetMode="External"/><Relationship Id="rId3675" Type="http://schemas.openxmlformats.org/officeDocument/2006/relationships/hyperlink" Target="https://talan.bank.gov.ua/get-user-certificate/J5325wtK3FQkUCzbhSQ0" TargetMode="External"/><Relationship Id="rId3882" Type="http://schemas.openxmlformats.org/officeDocument/2006/relationships/hyperlink" Target="https://talan.bank.gov.ua/get-user-certificate/J5325beRAqeJBJZvjyFn" TargetMode="External"/><Relationship Id="rId389" Type="http://schemas.openxmlformats.org/officeDocument/2006/relationships/hyperlink" Target="https://talan.bank.gov.ua/get-user-certificate/J5325aNDOWBsY1szlqtU" TargetMode="External"/><Relationship Id="rId596" Type="http://schemas.openxmlformats.org/officeDocument/2006/relationships/hyperlink" Target="https://talan.bank.gov.ua/get-user-certificate/J5325mfEBVb2m14RgQiH" TargetMode="External"/><Relationship Id="rId2277" Type="http://schemas.openxmlformats.org/officeDocument/2006/relationships/hyperlink" Target="https://talan.bank.gov.ua/get-user-certificate/J5325XBmExhKK2MW7xUA" TargetMode="External"/><Relationship Id="rId2484" Type="http://schemas.openxmlformats.org/officeDocument/2006/relationships/hyperlink" Target="https://talan.bank.gov.ua/get-user-certificate/J5325fk5e67YW8WpDPMq" TargetMode="External"/><Relationship Id="rId2691" Type="http://schemas.openxmlformats.org/officeDocument/2006/relationships/hyperlink" Target="https://talan.bank.gov.ua/get-user-certificate/J5325BVYKHo3zssbyZFG" TargetMode="External"/><Relationship Id="rId3328" Type="http://schemas.openxmlformats.org/officeDocument/2006/relationships/hyperlink" Target="https://talan.bank.gov.ua/get-user-certificate/J5325jScnjIH4pf4w7ok" TargetMode="External"/><Relationship Id="rId3535" Type="http://schemas.openxmlformats.org/officeDocument/2006/relationships/hyperlink" Target="https://talan.bank.gov.ua/get-user-certificate/J5325sqtbq1pv3jBQ3D0" TargetMode="External"/><Relationship Id="rId3742" Type="http://schemas.openxmlformats.org/officeDocument/2006/relationships/hyperlink" Target="https://talan.bank.gov.ua/get-user-certificate/J5325eYVh-4vbQXX8Fok" TargetMode="External"/><Relationship Id="rId249" Type="http://schemas.openxmlformats.org/officeDocument/2006/relationships/hyperlink" Target="https://talan.bank.gov.ua/get-user-certificate/J5325Tgfe5Gq8GGhIH3P" TargetMode="External"/><Relationship Id="rId456" Type="http://schemas.openxmlformats.org/officeDocument/2006/relationships/hyperlink" Target="https://talan.bank.gov.ua/get-user-certificate/J5325Z_J3VqBm2T4kSdW" TargetMode="External"/><Relationship Id="rId663" Type="http://schemas.openxmlformats.org/officeDocument/2006/relationships/hyperlink" Target="https://talan.bank.gov.ua/get-user-certificate/J5325-9KOA2IUZRbnAt7" TargetMode="External"/><Relationship Id="rId870" Type="http://schemas.openxmlformats.org/officeDocument/2006/relationships/hyperlink" Target="https://talan.bank.gov.ua/get-user-certificate/J5325IoC9qFT6zfVkRcU" TargetMode="External"/><Relationship Id="rId1086" Type="http://schemas.openxmlformats.org/officeDocument/2006/relationships/hyperlink" Target="https://talan.bank.gov.ua/get-user-certificate/J5325hoKPVyDhkFUTHHU" TargetMode="External"/><Relationship Id="rId1293" Type="http://schemas.openxmlformats.org/officeDocument/2006/relationships/hyperlink" Target="https://talan.bank.gov.ua/get-user-certificate/J5325RsSH4UcMgmATACo" TargetMode="External"/><Relationship Id="rId2137" Type="http://schemas.openxmlformats.org/officeDocument/2006/relationships/hyperlink" Target="https://talan.bank.gov.ua/get-user-certificate/J5325u-z-J_YHhIjUunj" TargetMode="External"/><Relationship Id="rId2344" Type="http://schemas.openxmlformats.org/officeDocument/2006/relationships/hyperlink" Target="https://talan.bank.gov.ua/get-user-certificate/J53257QpiBNhhMOWgR-X" TargetMode="External"/><Relationship Id="rId2551" Type="http://schemas.openxmlformats.org/officeDocument/2006/relationships/hyperlink" Target="https://talan.bank.gov.ua/get-user-certificate/J5325Q8mJEhljgI0tfw6" TargetMode="External"/><Relationship Id="rId109" Type="http://schemas.openxmlformats.org/officeDocument/2006/relationships/hyperlink" Target="https://talan.bank.gov.ua/get-user-certificate/J5325CeOe2YB9f_vBMiq" TargetMode="External"/><Relationship Id="rId316" Type="http://schemas.openxmlformats.org/officeDocument/2006/relationships/hyperlink" Target="https://talan.bank.gov.ua/get-user-certificate/J5325-n-OLmeSarKApgT" TargetMode="External"/><Relationship Id="rId523" Type="http://schemas.openxmlformats.org/officeDocument/2006/relationships/hyperlink" Target="https://talan.bank.gov.ua/get-user-certificate/J5325Na_rf9YpEiklet9" TargetMode="External"/><Relationship Id="rId1153" Type="http://schemas.openxmlformats.org/officeDocument/2006/relationships/hyperlink" Target="https://talan.bank.gov.ua/get-user-certificate/J5325V2ym7U0pE15QlXn" TargetMode="External"/><Relationship Id="rId2204" Type="http://schemas.openxmlformats.org/officeDocument/2006/relationships/hyperlink" Target="https://talan.bank.gov.ua/get-user-certificate/J5325WkAO9O9DX4ZyxhY" TargetMode="External"/><Relationship Id="rId3602" Type="http://schemas.openxmlformats.org/officeDocument/2006/relationships/hyperlink" Target="https://talan.bank.gov.ua/get-user-certificate/J5325TLCGClLZD-eM3l1" TargetMode="External"/><Relationship Id="rId730" Type="http://schemas.openxmlformats.org/officeDocument/2006/relationships/hyperlink" Target="https://talan.bank.gov.ua/get-user-certificate/J5325zwDYR8N2k5h_ZBv" TargetMode="External"/><Relationship Id="rId1013" Type="http://schemas.openxmlformats.org/officeDocument/2006/relationships/hyperlink" Target="https://talan.bank.gov.ua/get-user-certificate/J5325EprqX6YjSkxku3q" TargetMode="External"/><Relationship Id="rId1360" Type="http://schemas.openxmlformats.org/officeDocument/2006/relationships/hyperlink" Target="https://talan.bank.gov.ua/get-user-certificate/J53251raHVZEZyZ-0dtO" TargetMode="External"/><Relationship Id="rId2411" Type="http://schemas.openxmlformats.org/officeDocument/2006/relationships/hyperlink" Target="https://talan.bank.gov.ua/get-user-certificate/J53255l6FolfjGJbvdoz" TargetMode="External"/><Relationship Id="rId4169" Type="http://schemas.openxmlformats.org/officeDocument/2006/relationships/hyperlink" Target="https://talan.bank.gov.ua/get-user-certificate/J5325AxIwQkFq3gx2JMN" TargetMode="External"/><Relationship Id="rId1220" Type="http://schemas.openxmlformats.org/officeDocument/2006/relationships/hyperlink" Target="https://talan.bank.gov.ua/get-user-certificate/J5325p3IJVqp03Go1XO9" TargetMode="External"/><Relationship Id="rId3185" Type="http://schemas.openxmlformats.org/officeDocument/2006/relationships/hyperlink" Target="https://talan.bank.gov.ua/get-user-certificate/J5325WdtkYYhkb3UhyqH" TargetMode="External"/><Relationship Id="rId3392" Type="http://schemas.openxmlformats.org/officeDocument/2006/relationships/hyperlink" Target="https://talan.bank.gov.ua/get-user-certificate/J5325Gz6owstlcQvUPey" TargetMode="External"/><Relationship Id="rId4029" Type="http://schemas.openxmlformats.org/officeDocument/2006/relationships/hyperlink" Target="https://talan.bank.gov.ua/get-user-certificate/J5325H7gT0FrWTvNlJXn" TargetMode="External"/><Relationship Id="rId4236" Type="http://schemas.openxmlformats.org/officeDocument/2006/relationships/hyperlink" Target="https://talan.bank.gov.ua/get-user-certificate/CYWPHlOAVDs1GNUFs6zk" TargetMode="External"/><Relationship Id="rId3045" Type="http://schemas.openxmlformats.org/officeDocument/2006/relationships/hyperlink" Target="https://talan.bank.gov.ua/get-user-certificate/J53254oWOA6yVbnflu8v" TargetMode="External"/><Relationship Id="rId3252" Type="http://schemas.openxmlformats.org/officeDocument/2006/relationships/hyperlink" Target="https://talan.bank.gov.ua/get-user-certificate/J5325Wr774nGHsHjdElT" TargetMode="External"/><Relationship Id="rId173" Type="http://schemas.openxmlformats.org/officeDocument/2006/relationships/hyperlink" Target="https://talan.bank.gov.ua/get-user-certificate/J5325BJliwEEH7MEo-zf" TargetMode="External"/><Relationship Id="rId380" Type="http://schemas.openxmlformats.org/officeDocument/2006/relationships/hyperlink" Target="https://talan.bank.gov.ua/get-user-certificate/J53257cz2QqLOlQC6uli" TargetMode="External"/><Relationship Id="rId2061" Type="http://schemas.openxmlformats.org/officeDocument/2006/relationships/hyperlink" Target="https://talan.bank.gov.ua/get-user-certificate/J5325ipQFl1jA2po258U" TargetMode="External"/><Relationship Id="rId3112" Type="http://schemas.openxmlformats.org/officeDocument/2006/relationships/hyperlink" Target="https://talan.bank.gov.ua/get-user-certificate/J5325IzNJ4jaJkDLdrVM" TargetMode="External"/><Relationship Id="rId240" Type="http://schemas.openxmlformats.org/officeDocument/2006/relationships/hyperlink" Target="https://talan.bank.gov.ua/get-user-certificate/J5325ltqyhs4apBSwTeD" TargetMode="External"/><Relationship Id="rId100" Type="http://schemas.openxmlformats.org/officeDocument/2006/relationships/hyperlink" Target="https://talan.bank.gov.ua/get-user-certificate/J5325JiQMjRugWZP0PP7" TargetMode="External"/><Relationship Id="rId2878" Type="http://schemas.openxmlformats.org/officeDocument/2006/relationships/hyperlink" Target="https://talan.bank.gov.ua/get-user-certificate/J5325AiTa671-wefS0Pp" TargetMode="External"/><Relationship Id="rId3929" Type="http://schemas.openxmlformats.org/officeDocument/2006/relationships/hyperlink" Target="https://talan.bank.gov.ua/get-user-certificate/J5325rw6hYKuO_-jhjy3" TargetMode="External"/><Relationship Id="rId4093" Type="http://schemas.openxmlformats.org/officeDocument/2006/relationships/hyperlink" Target="https://talan.bank.gov.ua/get-user-certificate/J5325zc5uSPUU_OXORVu" TargetMode="External"/><Relationship Id="rId1687" Type="http://schemas.openxmlformats.org/officeDocument/2006/relationships/hyperlink" Target="https://talan.bank.gov.ua/get-user-certificate/J5325qmS-akW_2K2tCmo" TargetMode="External"/><Relationship Id="rId1894" Type="http://schemas.openxmlformats.org/officeDocument/2006/relationships/hyperlink" Target="https://talan.bank.gov.ua/get-user-certificate/J5325m5ztrYGYO7OKWbL" TargetMode="External"/><Relationship Id="rId2738" Type="http://schemas.openxmlformats.org/officeDocument/2006/relationships/hyperlink" Target="https://talan.bank.gov.ua/get-user-certificate/J5325ALglk9iQz8ObtIK" TargetMode="External"/><Relationship Id="rId2945" Type="http://schemas.openxmlformats.org/officeDocument/2006/relationships/hyperlink" Target="https://talan.bank.gov.ua/get-user-certificate/J5325U-zm4KVU5pi2ryk" TargetMode="External"/><Relationship Id="rId917" Type="http://schemas.openxmlformats.org/officeDocument/2006/relationships/hyperlink" Target="https://talan.bank.gov.ua/get-user-certificate/J5325Gw228pVK_4SZsJI" TargetMode="External"/><Relationship Id="rId1547" Type="http://schemas.openxmlformats.org/officeDocument/2006/relationships/hyperlink" Target="https://talan.bank.gov.ua/get-user-certificate/J5325yhk5nFqvdTNgVEJ" TargetMode="External"/><Relationship Id="rId1754" Type="http://schemas.openxmlformats.org/officeDocument/2006/relationships/hyperlink" Target="https://talan.bank.gov.ua/get-user-certificate/J53255xFxYprhraXbqHZ" TargetMode="External"/><Relationship Id="rId1961" Type="http://schemas.openxmlformats.org/officeDocument/2006/relationships/hyperlink" Target="https://talan.bank.gov.ua/get-user-certificate/J5325hRlvC2qByUEORA9" TargetMode="External"/><Relationship Id="rId2805" Type="http://schemas.openxmlformats.org/officeDocument/2006/relationships/hyperlink" Target="https://talan.bank.gov.ua/get-user-certificate/J5325iBnyOTy6xfYNlPf" TargetMode="External"/><Relationship Id="rId4160" Type="http://schemas.openxmlformats.org/officeDocument/2006/relationships/hyperlink" Target="https://talan.bank.gov.ua/get-user-certificate/J5325eLsElUQT5o6XusR" TargetMode="External"/><Relationship Id="rId46" Type="http://schemas.openxmlformats.org/officeDocument/2006/relationships/hyperlink" Target="https://talan.bank.gov.ua/get-user-certificate/J5325azERQy4VB8Gyq8p" TargetMode="External"/><Relationship Id="rId1407" Type="http://schemas.openxmlformats.org/officeDocument/2006/relationships/hyperlink" Target="https://talan.bank.gov.ua/get-user-certificate/J5325T2Zflxr1vhh4Y5M" TargetMode="External"/><Relationship Id="rId1614" Type="http://schemas.openxmlformats.org/officeDocument/2006/relationships/hyperlink" Target="https://talan.bank.gov.ua/get-user-certificate/J5325Qn6fUVO3hTVWGU9" TargetMode="External"/><Relationship Id="rId1821" Type="http://schemas.openxmlformats.org/officeDocument/2006/relationships/hyperlink" Target="https://talan.bank.gov.ua/get-user-certificate/J5325ATaeXA6q8MOGgqt" TargetMode="External"/><Relationship Id="rId4020" Type="http://schemas.openxmlformats.org/officeDocument/2006/relationships/hyperlink" Target="https://talan.bank.gov.ua/get-user-certificate/J5325w5L5yukbQQ7DL0i" TargetMode="External"/><Relationship Id="rId3579" Type="http://schemas.openxmlformats.org/officeDocument/2006/relationships/hyperlink" Target="https://talan.bank.gov.ua/get-user-certificate/J5325BXRUlKqChTadrzc" TargetMode="External"/><Relationship Id="rId3786" Type="http://schemas.openxmlformats.org/officeDocument/2006/relationships/hyperlink" Target="https://talan.bank.gov.ua/get-user-certificate/J5325YY4XNuQnBOD79fF" TargetMode="External"/><Relationship Id="rId2388" Type="http://schemas.openxmlformats.org/officeDocument/2006/relationships/hyperlink" Target="https://talan.bank.gov.ua/get-user-certificate/J5325-pjrcq1dbyhSCEl" TargetMode="External"/><Relationship Id="rId2595" Type="http://schemas.openxmlformats.org/officeDocument/2006/relationships/hyperlink" Target="https://talan.bank.gov.ua/get-user-certificate/J5325lAsDhKgGnb6HwKk" TargetMode="External"/><Relationship Id="rId3439" Type="http://schemas.openxmlformats.org/officeDocument/2006/relationships/hyperlink" Target="https://talan.bank.gov.ua/get-user-certificate/J53250tvygX0DpJtfx0u" TargetMode="External"/><Relationship Id="rId3993" Type="http://schemas.openxmlformats.org/officeDocument/2006/relationships/hyperlink" Target="https://talan.bank.gov.ua/get-user-certificate/J5325i_CIRL_Q1NWQAU-" TargetMode="External"/><Relationship Id="rId567" Type="http://schemas.openxmlformats.org/officeDocument/2006/relationships/hyperlink" Target="https://talan.bank.gov.ua/get-user-certificate/J53258avEvobGb-u--9J" TargetMode="External"/><Relationship Id="rId1197" Type="http://schemas.openxmlformats.org/officeDocument/2006/relationships/hyperlink" Target="https://talan.bank.gov.ua/get-user-certificate/J53258Y9xHDu-COnYtey" TargetMode="External"/><Relationship Id="rId2248" Type="http://schemas.openxmlformats.org/officeDocument/2006/relationships/hyperlink" Target="https://talan.bank.gov.ua/get-user-certificate/J5325Np5yyWFikvsp5VZ" TargetMode="External"/><Relationship Id="rId3646" Type="http://schemas.openxmlformats.org/officeDocument/2006/relationships/hyperlink" Target="https://talan.bank.gov.ua/get-user-certificate/J5325M1nAXFHkPE_WEUI" TargetMode="External"/><Relationship Id="rId3853" Type="http://schemas.openxmlformats.org/officeDocument/2006/relationships/hyperlink" Target="https://talan.bank.gov.ua/get-user-certificate/J5325qsnh5eJaNDaHrkN" TargetMode="External"/><Relationship Id="rId774" Type="http://schemas.openxmlformats.org/officeDocument/2006/relationships/hyperlink" Target="https://talan.bank.gov.ua/get-user-certificate/J5325ZHDg6XHXimWDgk4" TargetMode="External"/><Relationship Id="rId981" Type="http://schemas.openxmlformats.org/officeDocument/2006/relationships/hyperlink" Target="https://talan.bank.gov.ua/get-user-certificate/J53253NINon_uMXbwnH1" TargetMode="External"/><Relationship Id="rId1057" Type="http://schemas.openxmlformats.org/officeDocument/2006/relationships/hyperlink" Target="https://talan.bank.gov.ua/get-user-certificate/J5325Dc81AaN00kKC0_o" TargetMode="External"/><Relationship Id="rId2455" Type="http://schemas.openxmlformats.org/officeDocument/2006/relationships/hyperlink" Target="https://talan.bank.gov.ua/get-user-certificate/J5325_Gll5huBpwoFJTX" TargetMode="External"/><Relationship Id="rId2662" Type="http://schemas.openxmlformats.org/officeDocument/2006/relationships/hyperlink" Target="https://talan.bank.gov.ua/get-user-certificate/J5325SHFsyAbc_bIIMy9" TargetMode="External"/><Relationship Id="rId3506" Type="http://schemas.openxmlformats.org/officeDocument/2006/relationships/hyperlink" Target="https://talan.bank.gov.ua/get-user-certificate/J5325FsxI2KyaGmYMElY" TargetMode="External"/><Relationship Id="rId3713" Type="http://schemas.openxmlformats.org/officeDocument/2006/relationships/hyperlink" Target="https://talan.bank.gov.ua/get-user-certificate/J5325cJOsWP2mdZQGjGc" TargetMode="External"/><Relationship Id="rId3920" Type="http://schemas.openxmlformats.org/officeDocument/2006/relationships/hyperlink" Target="https://talan.bank.gov.ua/get-user-certificate/J53250uiLaoyR_XSJzVW" TargetMode="External"/><Relationship Id="rId427" Type="http://schemas.openxmlformats.org/officeDocument/2006/relationships/hyperlink" Target="https://talan.bank.gov.ua/get-user-certificate/J5325kHSOjM_IHctBxvo" TargetMode="External"/><Relationship Id="rId634" Type="http://schemas.openxmlformats.org/officeDocument/2006/relationships/hyperlink" Target="https://talan.bank.gov.ua/get-user-certificate/J53259A_TjAooWuIhQi8" TargetMode="External"/><Relationship Id="rId841" Type="http://schemas.openxmlformats.org/officeDocument/2006/relationships/hyperlink" Target="https://talan.bank.gov.ua/get-user-certificate/J5325mXaX98bZGOHKLhY" TargetMode="External"/><Relationship Id="rId1264" Type="http://schemas.openxmlformats.org/officeDocument/2006/relationships/hyperlink" Target="https://talan.bank.gov.ua/get-user-certificate/J5325xkAj-q7-3RIL_ps" TargetMode="External"/><Relationship Id="rId1471" Type="http://schemas.openxmlformats.org/officeDocument/2006/relationships/hyperlink" Target="https://talan.bank.gov.ua/get-user-certificate/J5325EIWcoPK84az76KG" TargetMode="External"/><Relationship Id="rId2108" Type="http://schemas.openxmlformats.org/officeDocument/2006/relationships/hyperlink" Target="https://talan.bank.gov.ua/get-user-certificate/J5325AofqgcUxuJV-lry" TargetMode="External"/><Relationship Id="rId2315" Type="http://schemas.openxmlformats.org/officeDocument/2006/relationships/hyperlink" Target="https://talan.bank.gov.ua/get-user-certificate/J5325Hch4PR56TNyO8Dg" TargetMode="External"/><Relationship Id="rId2522" Type="http://schemas.openxmlformats.org/officeDocument/2006/relationships/hyperlink" Target="https://talan.bank.gov.ua/get-user-certificate/J5325CPwv8NcGqJIedcM" TargetMode="External"/><Relationship Id="rId701" Type="http://schemas.openxmlformats.org/officeDocument/2006/relationships/hyperlink" Target="https://talan.bank.gov.ua/get-user-certificate/J5325k5nT1O-Kkxo9SDx" TargetMode="External"/><Relationship Id="rId1124" Type="http://schemas.openxmlformats.org/officeDocument/2006/relationships/hyperlink" Target="https://talan.bank.gov.ua/get-user-certificate/J5325QvrbAlKj6ggF98F" TargetMode="External"/><Relationship Id="rId1331" Type="http://schemas.openxmlformats.org/officeDocument/2006/relationships/hyperlink" Target="https://talan.bank.gov.ua/get-user-certificate/J53258lDOAf2RrI0dZry" TargetMode="External"/><Relationship Id="rId3089" Type="http://schemas.openxmlformats.org/officeDocument/2006/relationships/hyperlink" Target="https://talan.bank.gov.ua/get-user-certificate/J53252OAo1CyJWRZI4xf" TargetMode="External"/><Relationship Id="rId3296" Type="http://schemas.openxmlformats.org/officeDocument/2006/relationships/hyperlink" Target="https://talan.bank.gov.ua/get-user-certificate/J5325Bo6rHIDXt-5JWxT" TargetMode="External"/><Relationship Id="rId3156" Type="http://schemas.openxmlformats.org/officeDocument/2006/relationships/hyperlink" Target="https://talan.bank.gov.ua/get-user-certificate/J5325WGyzuC7ZQ_OlhSv" TargetMode="External"/><Relationship Id="rId3363" Type="http://schemas.openxmlformats.org/officeDocument/2006/relationships/hyperlink" Target="https://talan.bank.gov.ua/get-user-certificate/J5325_RpRipcSn0WE_B4" TargetMode="External"/><Relationship Id="rId4207" Type="http://schemas.openxmlformats.org/officeDocument/2006/relationships/hyperlink" Target="https://talan.bank.gov.ua/get-user-certificate/lHoZP9CB3JOmNRM5jUw-" TargetMode="External"/><Relationship Id="rId284" Type="http://schemas.openxmlformats.org/officeDocument/2006/relationships/hyperlink" Target="https://talan.bank.gov.ua/get-user-certificate/J5325FcMiz_NjjQrecQK" TargetMode="External"/><Relationship Id="rId491" Type="http://schemas.openxmlformats.org/officeDocument/2006/relationships/hyperlink" Target="https://talan.bank.gov.ua/get-user-certificate/J5325LUEdMrvK9IjOcCH" TargetMode="External"/><Relationship Id="rId2172" Type="http://schemas.openxmlformats.org/officeDocument/2006/relationships/hyperlink" Target="https://talan.bank.gov.ua/get-user-certificate/J5325PLTrupLYRwH76Za" TargetMode="External"/><Relationship Id="rId3016" Type="http://schemas.openxmlformats.org/officeDocument/2006/relationships/hyperlink" Target="https://talan.bank.gov.ua/get-user-certificate/J5325Km19cwuAyi1vxZG" TargetMode="External"/><Relationship Id="rId3223" Type="http://schemas.openxmlformats.org/officeDocument/2006/relationships/hyperlink" Target="https://talan.bank.gov.ua/get-user-certificate/J5325WexYSeKuFg_g24d" TargetMode="External"/><Relationship Id="rId3570" Type="http://schemas.openxmlformats.org/officeDocument/2006/relationships/hyperlink" Target="https://talan.bank.gov.ua/get-user-certificate/J53251VtAQGhqV1GNLpi" TargetMode="External"/><Relationship Id="rId144" Type="http://schemas.openxmlformats.org/officeDocument/2006/relationships/hyperlink" Target="https://talan.bank.gov.ua/get-user-certificate/J5325i_kkjFQyXsr4RAW" TargetMode="External"/><Relationship Id="rId3430" Type="http://schemas.openxmlformats.org/officeDocument/2006/relationships/hyperlink" Target="https://talan.bank.gov.ua/get-user-certificate/J532569pbSK6oOAOdShe" TargetMode="External"/><Relationship Id="rId351" Type="http://schemas.openxmlformats.org/officeDocument/2006/relationships/hyperlink" Target="https://talan.bank.gov.ua/get-user-certificate/J5325x11Pz9ENHKblqxL" TargetMode="External"/><Relationship Id="rId2032" Type="http://schemas.openxmlformats.org/officeDocument/2006/relationships/hyperlink" Target="https://talan.bank.gov.ua/get-user-certificate/J53252444o1jMeZdmbaB" TargetMode="External"/><Relationship Id="rId2989" Type="http://schemas.openxmlformats.org/officeDocument/2006/relationships/hyperlink" Target="https://talan.bank.gov.ua/get-user-certificate/J5325okadPU2EoKshXAr" TargetMode="External"/><Relationship Id="rId211" Type="http://schemas.openxmlformats.org/officeDocument/2006/relationships/hyperlink" Target="https://talan.bank.gov.ua/get-user-certificate/J5325M73EflNNXxKlMiT" TargetMode="External"/><Relationship Id="rId1798" Type="http://schemas.openxmlformats.org/officeDocument/2006/relationships/hyperlink" Target="https://talan.bank.gov.ua/get-user-certificate/J5325az7JU6HsWsG-PgG" TargetMode="External"/><Relationship Id="rId2849" Type="http://schemas.openxmlformats.org/officeDocument/2006/relationships/hyperlink" Target="https://talan.bank.gov.ua/get-user-certificate/J5325JWOj-hRM5R8sRpl" TargetMode="External"/><Relationship Id="rId1658" Type="http://schemas.openxmlformats.org/officeDocument/2006/relationships/hyperlink" Target="https://talan.bank.gov.ua/get-user-certificate/J5325lXxoczfgy0UsMJp" TargetMode="External"/><Relationship Id="rId1865" Type="http://schemas.openxmlformats.org/officeDocument/2006/relationships/hyperlink" Target="https://talan.bank.gov.ua/get-user-certificate/J53255Emd93xxg8qEGo-" TargetMode="External"/><Relationship Id="rId2709" Type="http://schemas.openxmlformats.org/officeDocument/2006/relationships/hyperlink" Target="https://talan.bank.gov.ua/get-user-certificate/J5325aB-OFNeEUT85b3m" TargetMode="External"/><Relationship Id="rId4064" Type="http://schemas.openxmlformats.org/officeDocument/2006/relationships/hyperlink" Target="https://talan.bank.gov.ua/get-user-certificate/J5325hFbzbwUAX20GA6z" TargetMode="External"/><Relationship Id="rId1518" Type="http://schemas.openxmlformats.org/officeDocument/2006/relationships/hyperlink" Target="https://talan.bank.gov.ua/get-user-certificate/J5325k3Nif0toLlzaBjv" TargetMode="External"/><Relationship Id="rId2916" Type="http://schemas.openxmlformats.org/officeDocument/2006/relationships/hyperlink" Target="https://talan.bank.gov.ua/get-user-certificate/J5325HFowQp9UGTSMM7V" TargetMode="External"/><Relationship Id="rId3080" Type="http://schemas.openxmlformats.org/officeDocument/2006/relationships/hyperlink" Target="https://talan.bank.gov.ua/get-user-certificate/J5325hlRSsmhhXSSaBdw" TargetMode="External"/><Relationship Id="rId4131" Type="http://schemas.openxmlformats.org/officeDocument/2006/relationships/hyperlink" Target="https://talan.bank.gov.ua/get-user-certificate/J53254zjL3NfWa3watrx" TargetMode="External"/><Relationship Id="rId1725" Type="http://schemas.openxmlformats.org/officeDocument/2006/relationships/hyperlink" Target="https://talan.bank.gov.ua/get-user-certificate/J5325LDIANekmdlkYCOK" TargetMode="External"/><Relationship Id="rId1932" Type="http://schemas.openxmlformats.org/officeDocument/2006/relationships/hyperlink" Target="https://talan.bank.gov.ua/get-user-certificate/J5325iyxkp9YmzfWM0Xt" TargetMode="External"/><Relationship Id="rId17" Type="http://schemas.openxmlformats.org/officeDocument/2006/relationships/hyperlink" Target="https://talan.bank.gov.ua/get-user-certificate/J5325StSIFT1Uq3MQi85" TargetMode="External"/><Relationship Id="rId3897" Type="http://schemas.openxmlformats.org/officeDocument/2006/relationships/hyperlink" Target="https://talan.bank.gov.ua/get-user-certificate/J532556vTAYSdOHQLUm6" TargetMode="External"/><Relationship Id="rId2499" Type="http://schemas.openxmlformats.org/officeDocument/2006/relationships/hyperlink" Target="https://talan.bank.gov.ua/get-user-certificate/J5325r3gLqYwfKYTbFJA" TargetMode="External"/><Relationship Id="rId3757" Type="http://schemas.openxmlformats.org/officeDocument/2006/relationships/hyperlink" Target="https://talan.bank.gov.ua/get-user-certificate/J5325uJG-Fjaskkie6JG" TargetMode="External"/><Relationship Id="rId3964" Type="http://schemas.openxmlformats.org/officeDocument/2006/relationships/hyperlink" Target="https://talan.bank.gov.ua/get-user-certificate/J5325l4_g0qFAs8LuCao" TargetMode="External"/><Relationship Id="rId1" Type="http://schemas.openxmlformats.org/officeDocument/2006/relationships/hyperlink" Target="https://talan.bank.gov.ua/get-user-certificate/J53253Iacbck2DDK1b7z" TargetMode="External"/><Relationship Id="rId678" Type="http://schemas.openxmlformats.org/officeDocument/2006/relationships/hyperlink" Target="https://talan.bank.gov.ua/get-user-certificate/J5325ULTDgchkCXZdkyJ" TargetMode="External"/><Relationship Id="rId885" Type="http://schemas.openxmlformats.org/officeDocument/2006/relationships/hyperlink" Target="https://talan.bank.gov.ua/get-user-certificate/J5325pY8el5uH6r8NlNS" TargetMode="External"/><Relationship Id="rId2359" Type="http://schemas.openxmlformats.org/officeDocument/2006/relationships/hyperlink" Target="https://talan.bank.gov.ua/get-user-certificate/J53258irpJKcTBxucWxD" TargetMode="External"/><Relationship Id="rId2566" Type="http://schemas.openxmlformats.org/officeDocument/2006/relationships/hyperlink" Target="https://talan.bank.gov.ua/get-user-certificate/J53251srjqPMMNCczmtg" TargetMode="External"/><Relationship Id="rId2773" Type="http://schemas.openxmlformats.org/officeDocument/2006/relationships/hyperlink" Target="https://talan.bank.gov.ua/get-user-certificate/J5325UMR4FC3mt8YGD68" TargetMode="External"/><Relationship Id="rId2980" Type="http://schemas.openxmlformats.org/officeDocument/2006/relationships/hyperlink" Target="https://talan.bank.gov.ua/get-user-certificate/J5325UE_EPIl1wCqiMes" TargetMode="External"/><Relationship Id="rId3617" Type="http://schemas.openxmlformats.org/officeDocument/2006/relationships/hyperlink" Target="https://talan.bank.gov.ua/get-user-certificate/J5325zJOYfCbiWJ6HoEC" TargetMode="External"/><Relationship Id="rId3824" Type="http://schemas.openxmlformats.org/officeDocument/2006/relationships/hyperlink" Target="https://talan.bank.gov.ua/get-user-certificate/J5325qDBEa7tgvibfMb9" TargetMode="External"/><Relationship Id="rId538" Type="http://schemas.openxmlformats.org/officeDocument/2006/relationships/hyperlink" Target="https://talan.bank.gov.ua/get-user-certificate/J5325hfLMyc2BSxFB_4r" TargetMode="External"/><Relationship Id="rId745" Type="http://schemas.openxmlformats.org/officeDocument/2006/relationships/hyperlink" Target="https://talan.bank.gov.ua/get-user-certificate/J5325i8kYa5JzxrVhi52" TargetMode="External"/><Relationship Id="rId952" Type="http://schemas.openxmlformats.org/officeDocument/2006/relationships/hyperlink" Target="https://talan.bank.gov.ua/get-user-certificate/J5325_4Xw3JCseVYHc41" TargetMode="External"/><Relationship Id="rId1168" Type="http://schemas.openxmlformats.org/officeDocument/2006/relationships/hyperlink" Target="https://talan.bank.gov.ua/get-user-certificate/J53256DvT4QKZEk567Rh" TargetMode="External"/><Relationship Id="rId1375" Type="http://schemas.openxmlformats.org/officeDocument/2006/relationships/hyperlink" Target="https://talan.bank.gov.ua/get-user-certificate/J5325hBgWVcY2q-PXaqm" TargetMode="External"/><Relationship Id="rId1582" Type="http://schemas.openxmlformats.org/officeDocument/2006/relationships/hyperlink" Target="https://talan.bank.gov.ua/get-user-certificate/J53258BV7qyU82Tmt0SA" TargetMode="External"/><Relationship Id="rId2219" Type="http://schemas.openxmlformats.org/officeDocument/2006/relationships/hyperlink" Target="https://talan.bank.gov.ua/get-user-certificate/J5325Guw075tPapIZyye" TargetMode="External"/><Relationship Id="rId2426" Type="http://schemas.openxmlformats.org/officeDocument/2006/relationships/hyperlink" Target="https://talan.bank.gov.ua/get-user-certificate/J5325O4UgQrXRi-NwGeN" TargetMode="External"/><Relationship Id="rId2633" Type="http://schemas.openxmlformats.org/officeDocument/2006/relationships/hyperlink" Target="https://talan.bank.gov.ua/get-user-certificate/J5325vLVJ5C96rIDcdd4" TargetMode="External"/><Relationship Id="rId81" Type="http://schemas.openxmlformats.org/officeDocument/2006/relationships/hyperlink" Target="https://talan.bank.gov.ua/get-user-certificate/J5325VOG_nrq0-zGf3yW" TargetMode="External"/><Relationship Id="rId605" Type="http://schemas.openxmlformats.org/officeDocument/2006/relationships/hyperlink" Target="https://talan.bank.gov.ua/get-user-certificate/J5325eh9uvmFzFQAnOs1" TargetMode="External"/><Relationship Id="rId812" Type="http://schemas.openxmlformats.org/officeDocument/2006/relationships/hyperlink" Target="https://talan.bank.gov.ua/get-user-certificate/J5325dhSW5bQngYvUS6Q" TargetMode="External"/><Relationship Id="rId1028" Type="http://schemas.openxmlformats.org/officeDocument/2006/relationships/hyperlink" Target="https://talan.bank.gov.ua/get-user-certificate/J5325YUnyAyvCt6GoKIy" TargetMode="External"/><Relationship Id="rId1235" Type="http://schemas.openxmlformats.org/officeDocument/2006/relationships/hyperlink" Target="https://talan.bank.gov.ua/get-user-certificate/J5325iY9BTHyYPGzXizl" TargetMode="External"/><Relationship Id="rId1442" Type="http://schemas.openxmlformats.org/officeDocument/2006/relationships/hyperlink" Target="https://talan.bank.gov.ua/get-user-certificate/J5325B7YpZkjweFsdu5R" TargetMode="External"/><Relationship Id="rId2840" Type="http://schemas.openxmlformats.org/officeDocument/2006/relationships/hyperlink" Target="https://talan.bank.gov.ua/get-user-certificate/J5325hOn2BZwD8Sh9BTi" TargetMode="External"/><Relationship Id="rId1302" Type="http://schemas.openxmlformats.org/officeDocument/2006/relationships/hyperlink" Target="https://talan.bank.gov.ua/get-user-certificate/J5325uVHcsR0lcQyRtQQ" TargetMode="External"/><Relationship Id="rId2700" Type="http://schemas.openxmlformats.org/officeDocument/2006/relationships/hyperlink" Target="https://talan.bank.gov.ua/get-user-certificate/J5325iip6uMkLTSv3uvQ" TargetMode="External"/><Relationship Id="rId3267" Type="http://schemas.openxmlformats.org/officeDocument/2006/relationships/hyperlink" Target="https://talan.bank.gov.ua/get-user-certificate/J532542vzETqfr1Y1isX" TargetMode="External"/><Relationship Id="rId188" Type="http://schemas.openxmlformats.org/officeDocument/2006/relationships/hyperlink" Target="https://talan.bank.gov.ua/get-user-certificate/J5325mAJ4HTpA12plGe_" TargetMode="External"/><Relationship Id="rId395" Type="http://schemas.openxmlformats.org/officeDocument/2006/relationships/hyperlink" Target="https://talan.bank.gov.ua/get-user-certificate/J5325yvP-Jh30MENDs5x" TargetMode="External"/><Relationship Id="rId2076" Type="http://schemas.openxmlformats.org/officeDocument/2006/relationships/hyperlink" Target="https://talan.bank.gov.ua/get-user-certificate/J5325O_veSG677Fgc-t6" TargetMode="External"/><Relationship Id="rId3474" Type="http://schemas.openxmlformats.org/officeDocument/2006/relationships/hyperlink" Target="https://talan.bank.gov.ua/get-user-certificate/J5325r_Om3v-6xx7pYg5" TargetMode="External"/><Relationship Id="rId3681" Type="http://schemas.openxmlformats.org/officeDocument/2006/relationships/hyperlink" Target="https://talan.bank.gov.ua/get-user-certificate/J5325AWRK-RR-WBMsnns" TargetMode="External"/><Relationship Id="rId2283" Type="http://schemas.openxmlformats.org/officeDocument/2006/relationships/hyperlink" Target="https://talan.bank.gov.ua/get-user-certificate/J5325nTma3ykHCBBblVc" TargetMode="External"/><Relationship Id="rId2490" Type="http://schemas.openxmlformats.org/officeDocument/2006/relationships/hyperlink" Target="https://talan.bank.gov.ua/get-user-certificate/J5325dkGC39UlpPMhV3U" TargetMode="External"/><Relationship Id="rId3127" Type="http://schemas.openxmlformats.org/officeDocument/2006/relationships/hyperlink" Target="https://talan.bank.gov.ua/get-user-certificate/J53252YqTXZwC8YDMIw1" TargetMode="External"/><Relationship Id="rId3334" Type="http://schemas.openxmlformats.org/officeDocument/2006/relationships/hyperlink" Target="https://talan.bank.gov.ua/get-user-certificate/J53252R0hUMZP9UGd2EL" TargetMode="External"/><Relationship Id="rId3541" Type="http://schemas.openxmlformats.org/officeDocument/2006/relationships/hyperlink" Target="https://talan.bank.gov.ua/get-user-certificate/J5325vkNEgUyBX7RWk34" TargetMode="External"/><Relationship Id="rId255" Type="http://schemas.openxmlformats.org/officeDocument/2006/relationships/hyperlink" Target="https://talan.bank.gov.ua/get-user-certificate/J5325jx_nLTAtau4GMj8" TargetMode="External"/><Relationship Id="rId462" Type="http://schemas.openxmlformats.org/officeDocument/2006/relationships/hyperlink" Target="https://talan.bank.gov.ua/get-user-certificate/J5325IKydL9hcHgKjBZY" TargetMode="External"/><Relationship Id="rId1092" Type="http://schemas.openxmlformats.org/officeDocument/2006/relationships/hyperlink" Target="https://talan.bank.gov.ua/get-user-certificate/J53253Y_0gvbO51KlFMx" TargetMode="External"/><Relationship Id="rId2143" Type="http://schemas.openxmlformats.org/officeDocument/2006/relationships/hyperlink" Target="https://talan.bank.gov.ua/get-user-certificate/J5325mBC9o56eWSOQQ5b" TargetMode="External"/><Relationship Id="rId2350" Type="http://schemas.openxmlformats.org/officeDocument/2006/relationships/hyperlink" Target="https://talan.bank.gov.ua/get-user-certificate/J5325zjlmkQMIjNSr84O" TargetMode="External"/><Relationship Id="rId3401" Type="http://schemas.openxmlformats.org/officeDocument/2006/relationships/hyperlink" Target="https://talan.bank.gov.ua/get-user-certificate/J5325s4yV0qPkM2fF7aX" TargetMode="External"/><Relationship Id="rId115" Type="http://schemas.openxmlformats.org/officeDocument/2006/relationships/hyperlink" Target="https://talan.bank.gov.ua/get-user-certificate/J5325nl4OLAi1-gFUUGg" TargetMode="External"/><Relationship Id="rId322" Type="http://schemas.openxmlformats.org/officeDocument/2006/relationships/hyperlink" Target="https://talan.bank.gov.ua/get-user-certificate/J5325Uup9EPC_ELZtWUw" TargetMode="External"/><Relationship Id="rId2003" Type="http://schemas.openxmlformats.org/officeDocument/2006/relationships/hyperlink" Target="https://talan.bank.gov.ua/get-user-certificate/J5325cIokEGQzG72dJwW" TargetMode="External"/><Relationship Id="rId2210" Type="http://schemas.openxmlformats.org/officeDocument/2006/relationships/hyperlink" Target="https://talan.bank.gov.ua/get-user-certificate/J5325LMM3QuU6WYDsbOg" TargetMode="External"/><Relationship Id="rId4175" Type="http://schemas.openxmlformats.org/officeDocument/2006/relationships/hyperlink" Target="https://talan.bank.gov.ua/get-user-certificate/TbxZWA6vgeY8HE8ANFXh" TargetMode="External"/><Relationship Id="rId1769" Type="http://schemas.openxmlformats.org/officeDocument/2006/relationships/hyperlink" Target="https://talan.bank.gov.ua/get-user-certificate/J5325TIj7ANag5Al0Lg6" TargetMode="External"/><Relationship Id="rId1976" Type="http://schemas.openxmlformats.org/officeDocument/2006/relationships/hyperlink" Target="https://talan.bank.gov.ua/get-user-certificate/J532517uHUvSucNoAIcU" TargetMode="External"/><Relationship Id="rId3191" Type="http://schemas.openxmlformats.org/officeDocument/2006/relationships/hyperlink" Target="https://talan.bank.gov.ua/get-user-certificate/J5325ReZGZt2djdnDhia" TargetMode="External"/><Relationship Id="rId4035" Type="http://schemas.openxmlformats.org/officeDocument/2006/relationships/hyperlink" Target="https://talan.bank.gov.ua/get-user-certificate/J5325UtRegvzDPxk0ti3" TargetMode="External"/><Relationship Id="rId4242" Type="http://schemas.openxmlformats.org/officeDocument/2006/relationships/hyperlink" Target="https://talan.bank.gov.ua/get-user-certificate/CYWPHoNwDJeO9WV7asNE" TargetMode="External"/><Relationship Id="rId1629" Type="http://schemas.openxmlformats.org/officeDocument/2006/relationships/hyperlink" Target="https://talan.bank.gov.ua/get-user-certificate/J5325ldIeoSvBwmSG_Eo" TargetMode="External"/><Relationship Id="rId1836" Type="http://schemas.openxmlformats.org/officeDocument/2006/relationships/hyperlink" Target="https://talan.bank.gov.ua/get-user-certificate/J5325hltcosEKNh0A-zg" TargetMode="External"/><Relationship Id="rId1903" Type="http://schemas.openxmlformats.org/officeDocument/2006/relationships/hyperlink" Target="https://talan.bank.gov.ua/get-user-certificate/J5325i0j1N_6WVgemF9z" TargetMode="External"/><Relationship Id="rId3051" Type="http://schemas.openxmlformats.org/officeDocument/2006/relationships/hyperlink" Target="https://talan.bank.gov.ua/get-user-certificate/J5325IjF2qN7C7iHENIu" TargetMode="External"/><Relationship Id="rId4102" Type="http://schemas.openxmlformats.org/officeDocument/2006/relationships/hyperlink" Target="https://talan.bank.gov.ua/get-user-certificate/J5325ZyvH2J320aqq3VV" TargetMode="External"/><Relationship Id="rId3868" Type="http://schemas.openxmlformats.org/officeDocument/2006/relationships/hyperlink" Target="https://talan.bank.gov.ua/get-user-certificate/J5325AowXsO0ww5fMB7n" TargetMode="External"/><Relationship Id="rId789" Type="http://schemas.openxmlformats.org/officeDocument/2006/relationships/hyperlink" Target="https://talan.bank.gov.ua/get-user-certificate/J5325llHDzQB6_Sm1Xau" TargetMode="External"/><Relationship Id="rId996" Type="http://schemas.openxmlformats.org/officeDocument/2006/relationships/hyperlink" Target="https://talan.bank.gov.ua/get-user-certificate/J5325CNOtEqjEXozuFmh" TargetMode="External"/><Relationship Id="rId2677" Type="http://schemas.openxmlformats.org/officeDocument/2006/relationships/hyperlink" Target="https://talan.bank.gov.ua/get-user-certificate/J5325bgVbM_AELTfiBzv" TargetMode="External"/><Relationship Id="rId2884" Type="http://schemas.openxmlformats.org/officeDocument/2006/relationships/hyperlink" Target="https://talan.bank.gov.ua/get-user-certificate/J5325cvJCL4KGIEjZel1" TargetMode="External"/><Relationship Id="rId3728" Type="http://schemas.openxmlformats.org/officeDocument/2006/relationships/hyperlink" Target="https://talan.bank.gov.ua/get-user-certificate/J5325aoei1zlHrxsodgQ" TargetMode="External"/><Relationship Id="rId649" Type="http://schemas.openxmlformats.org/officeDocument/2006/relationships/hyperlink" Target="https://talan.bank.gov.ua/get-user-certificate/J5325-Qo78C4Tw-X6vGv" TargetMode="External"/><Relationship Id="rId856" Type="http://schemas.openxmlformats.org/officeDocument/2006/relationships/hyperlink" Target="https://talan.bank.gov.ua/get-user-certificate/J5325ampbxV2_9P0q7bd" TargetMode="External"/><Relationship Id="rId1279" Type="http://schemas.openxmlformats.org/officeDocument/2006/relationships/hyperlink" Target="https://talan.bank.gov.ua/get-user-certificate/J5325dfmAdD0w5eo66SX" TargetMode="External"/><Relationship Id="rId1486" Type="http://schemas.openxmlformats.org/officeDocument/2006/relationships/hyperlink" Target="https://talan.bank.gov.ua/get-user-certificate/J5325vr2b2bATNypZwFN" TargetMode="External"/><Relationship Id="rId2537" Type="http://schemas.openxmlformats.org/officeDocument/2006/relationships/hyperlink" Target="https://talan.bank.gov.ua/get-user-certificate/J5325joOl5nMb5P45p5V" TargetMode="External"/><Relationship Id="rId3935" Type="http://schemas.openxmlformats.org/officeDocument/2006/relationships/hyperlink" Target="https://talan.bank.gov.ua/get-user-certificate/J5325gP1EAzMa3CnJdbo" TargetMode="External"/><Relationship Id="rId509" Type="http://schemas.openxmlformats.org/officeDocument/2006/relationships/hyperlink" Target="https://talan.bank.gov.ua/get-user-certificate/J5325z7xIxqo0W6_z5AB" TargetMode="External"/><Relationship Id="rId1139" Type="http://schemas.openxmlformats.org/officeDocument/2006/relationships/hyperlink" Target="https://talan.bank.gov.ua/get-user-certificate/J532547-ITrJP-rea4QW" TargetMode="External"/><Relationship Id="rId1346" Type="http://schemas.openxmlformats.org/officeDocument/2006/relationships/hyperlink" Target="https://talan.bank.gov.ua/get-user-certificate/J5325lgyKdJKRHJCQ9jW" TargetMode="External"/><Relationship Id="rId1693" Type="http://schemas.openxmlformats.org/officeDocument/2006/relationships/hyperlink" Target="https://talan.bank.gov.ua/get-user-certificate/J5325QBqaWihuQod-t0H" TargetMode="External"/><Relationship Id="rId2744" Type="http://schemas.openxmlformats.org/officeDocument/2006/relationships/hyperlink" Target="https://talan.bank.gov.ua/get-user-certificate/J532538YeD6IIy4BDir0" TargetMode="External"/><Relationship Id="rId2951" Type="http://schemas.openxmlformats.org/officeDocument/2006/relationships/hyperlink" Target="https://talan.bank.gov.ua/get-user-certificate/J5325hcdLPLQmTcc5Vcn" TargetMode="External"/><Relationship Id="rId716" Type="http://schemas.openxmlformats.org/officeDocument/2006/relationships/hyperlink" Target="https://talan.bank.gov.ua/get-user-certificate/J5325uAxYdD4a8y4eZLz" TargetMode="External"/><Relationship Id="rId923" Type="http://schemas.openxmlformats.org/officeDocument/2006/relationships/hyperlink" Target="https://talan.bank.gov.ua/get-user-certificate/J532598xQanwpG-p0g6_" TargetMode="External"/><Relationship Id="rId1553" Type="http://schemas.openxmlformats.org/officeDocument/2006/relationships/hyperlink" Target="https://talan.bank.gov.ua/get-user-certificate/J5325HGV10qT5CEfOAFD" TargetMode="External"/><Relationship Id="rId1760" Type="http://schemas.openxmlformats.org/officeDocument/2006/relationships/hyperlink" Target="https://talan.bank.gov.ua/get-user-certificate/J5325RY_jV2bsJ1tVHQd" TargetMode="External"/><Relationship Id="rId2604" Type="http://schemas.openxmlformats.org/officeDocument/2006/relationships/hyperlink" Target="https://talan.bank.gov.ua/get-user-certificate/J5325fXM2wAYJ84LX-O5" TargetMode="External"/><Relationship Id="rId2811" Type="http://schemas.openxmlformats.org/officeDocument/2006/relationships/hyperlink" Target="https://talan.bank.gov.ua/get-user-certificate/J53259HSF75JcD0GE-yg" TargetMode="External"/><Relationship Id="rId52" Type="http://schemas.openxmlformats.org/officeDocument/2006/relationships/hyperlink" Target="https://talan.bank.gov.ua/get-user-certificate/J5325TbI6lpwCDEfRN0L" TargetMode="External"/><Relationship Id="rId1206" Type="http://schemas.openxmlformats.org/officeDocument/2006/relationships/hyperlink" Target="https://talan.bank.gov.ua/get-user-certificate/J5325oWfug_kMP30BdU5" TargetMode="External"/><Relationship Id="rId1413" Type="http://schemas.openxmlformats.org/officeDocument/2006/relationships/hyperlink" Target="https://talan.bank.gov.ua/get-user-certificate/J5325E_XkkQ-5IIahqIA" TargetMode="External"/><Relationship Id="rId1620" Type="http://schemas.openxmlformats.org/officeDocument/2006/relationships/hyperlink" Target="https://talan.bank.gov.ua/get-user-certificate/J53255NWQtIiJfYBzzTL" TargetMode="External"/><Relationship Id="rId3378" Type="http://schemas.openxmlformats.org/officeDocument/2006/relationships/hyperlink" Target="https://talan.bank.gov.ua/get-user-certificate/J5325RCCwOr69tK9ZFmT" TargetMode="External"/><Relationship Id="rId3585" Type="http://schemas.openxmlformats.org/officeDocument/2006/relationships/hyperlink" Target="https://talan.bank.gov.ua/get-user-certificate/J532579n-SMH1JrKwprn" TargetMode="External"/><Relationship Id="rId3792" Type="http://schemas.openxmlformats.org/officeDocument/2006/relationships/hyperlink" Target="https://talan.bank.gov.ua/get-user-certificate/J5325rriYoMh8SXqrMTM" TargetMode="External"/><Relationship Id="rId299" Type="http://schemas.openxmlformats.org/officeDocument/2006/relationships/hyperlink" Target="https://talan.bank.gov.ua/get-user-certificate/J53254rcu3kWubSM0Pu-" TargetMode="External"/><Relationship Id="rId2187" Type="http://schemas.openxmlformats.org/officeDocument/2006/relationships/hyperlink" Target="https://talan.bank.gov.ua/get-user-certificate/J5325AcpH6m-iSHVFJu4" TargetMode="External"/><Relationship Id="rId2394" Type="http://schemas.openxmlformats.org/officeDocument/2006/relationships/hyperlink" Target="https://talan.bank.gov.ua/get-user-certificate/J5325TPXGfDaMAtY_IXy" TargetMode="External"/><Relationship Id="rId3238" Type="http://schemas.openxmlformats.org/officeDocument/2006/relationships/hyperlink" Target="https://talan.bank.gov.ua/get-user-certificate/J5325FGD-cwDg0xR2Qxv" TargetMode="External"/><Relationship Id="rId3445" Type="http://schemas.openxmlformats.org/officeDocument/2006/relationships/hyperlink" Target="https://talan.bank.gov.ua/get-user-certificate/J5325e2-mJhnMsqgal9_" TargetMode="External"/><Relationship Id="rId3652" Type="http://schemas.openxmlformats.org/officeDocument/2006/relationships/hyperlink" Target="https://talan.bank.gov.ua/get-user-certificate/J5325qmUIW81tt2fECB1" TargetMode="External"/><Relationship Id="rId159" Type="http://schemas.openxmlformats.org/officeDocument/2006/relationships/hyperlink" Target="https://talan.bank.gov.ua/get-user-certificate/J5325lzYuDFDJPkoFcZu" TargetMode="External"/><Relationship Id="rId366" Type="http://schemas.openxmlformats.org/officeDocument/2006/relationships/hyperlink" Target="https://talan.bank.gov.ua/get-user-certificate/J5325ZuKMicI7U3MuyDA" TargetMode="External"/><Relationship Id="rId573" Type="http://schemas.openxmlformats.org/officeDocument/2006/relationships/hyperlink" Target="https://talan.bank.gov.ua/get-user-certificate/J5325qI34rxynKN7f3zj" TargetMode="External"/><Relationship Id="rId780" Type="http://schemas.openxmlformats.org/officeDocument/2006/relationships/hyperlink" Target="https://talan.bank.gov.ua/get-user-certificate/J5325ssVu8R0740KpVht" TargetMode="External"/><Relationship Id="rId2047" Type="http://schemas.openxmlformats.org/officeDocument/2006/relationships/hyperlink" Target="https://talan.bank.gov.ua/get-user-certificate/J5325XG4SdAKvBZQqLCp" TargetMode="External"/><Relationship Id="rId2254" Type="http://schemas.openxmlformats.org/officeDocument/2006/relationships/hyperlink" Target="https://talan.bank.gov.ua/get-user-certificate/J5325oWLl9w-OXg60qQD" TargetMode="External"/><Relationship Id="rId2461" Type="http://schemas.openxmlformats.org/officeDocument/2006/relationships/hyperlink" Target="https://talan.bank.gov.ua/get-user-certificate/J5325Rp-GOIYmKkEKxW1" TargetMode="External"/><Relationship Id="rId3305" Type="http://schemas.openxmlformats.org/officeDocument/2006/relationships/hyperlink" Target="https://talan.bank.gov.ua/get-user-certificate/J5325VlrNd2R5e0mJS4c" TargetMode="External"/><Relationship Id="rId3512" Type="http://schemas.openxmlformats.org/officeDocument/2006/relationships/hyperlink" Target="https://talan.bank.gov.ua/get-user-certificate/J5325RNcOnPMSwMhVS7j" TargetMode="External"/><Relationship Id="rId226" Type="http://schemas.openxmlformats.org/officeDocument/2006/relationships/hyperlink" Target="https://talan.bank.gov.ua/get-user-certificate/J53254TpHd6g9ZxWlCaV" TargetMode="External"/><Relationship Id="rId433" Type="http://schemas.openxmlformats.org/officeDocument/2006/relationships/hyperlink" Target="https://talan.bank.gov.ua/get-user-certificate/J5325xTjBMmF3U6ASmgO" TargetMode="External"/><Relationship Id="rId1063" Type="http://schemas.openxmlformats.org/officeDocument/2006/relationships/hyperlink" Target="https://talan.bank.gov.ua/get-user-certificate/J5325_FCksz47mlIceYB" TargetMode="External"/><Relationship Id="rId1270" Type="http://schemas.openxmlformats.org/officeDocument/2006/relationships/hyperlink" Target="https://talan.bank.gov.ua/get-user-certificate/J5325LWSOvsHnwpwAVau" TargetMode="External"/><Relationship Id="rId2114" Type="http://schemas.openxmlformats.org/officeDocument/2006/relationships/hyperlink" Target="https://talan.bank.gov.ua/get-user-certificate/J5325XX_7Yzs8_FF7NJf" TargetMode="External"/><Relationship Id="rId640" Type="http://schemas.openxmlformats.org/officeDocument/2006/relationships/hyperlink" Target="https://talan.bank.gov.ua/get-user-certificate/J5325sf0YyQsYe1u-Zfe" TargetMode="External"/><Relationship Id="rId2321" Type="http://schemas.openxmlformats.org/officeDocument/2006/relationships/hyperlink" Target="https://talan.bank.gov.ua/get-user-certificate/J5325wTjgCne_VnzHtMb" TargetMode="External"/><Relationship Id="rId4079" Type="http://schemas.openxmlformats.org/officeDocument/2006/relationships/hyperlink" Target="https://talan.bank.gov.ua/get-user-certificate/J5325qzyQpGbQNQFLFp3" TargetMode="External"/><Relationship Id="rId500" Type="http://schemas.openxmlformats.org/officeDocument/2006/relationships/hyperlink" Target="https://talan.bank.gov.ua/get-user-certificate/J5325QkYfFt_JbB1rfrB" TargetMode="External"/><Relationship Id="rId1130" Type="http://schemas.openxmlformats.org/officeDocument/2006/relationships/hyperlink" Target="https://talan.bank.gov.ua/get-user-certificate/J5325nvqF6aOUH5FamC4" TargetMode="External"/><Relationship Id="rId1947" Type="http://schemas.openxmlformats.org/officeDocument/2006/relationships/hyperlink" Target="https://talan.bank.gov.ua/get-user-certificate/J53259R8UgfMkd7E6oqP" TargetMode="External"/><Relationship Id="rId3095" Type="http://schemas.openxmlformats.org/officeDocument/2006/relationships/hyperlink" Target="https://talan.bank.gov.ua/get-user-certificate/J5325rDIb-ULpeIyr3dj" TargetMode="External"/><Relationship Id="rId4146" Type="http://schemas.openxmlformats.org/officeDocument/2006/relationships/hyperlink" Target="https://talan.bank.gov.ua/get-user-certificate/J5325bU_gprLjZNiBPhF" TargetMode="External"/><Relationship Id="rId1807" Type="http://schemas.openxmlformats.org/officeDocument/2006/relationships/hyperlink" Target="https://talan.bank.gov.ua/get-user-certificate/J5325NXQUNBGWM9WIdTn" TargetMode="External"/><Relationship Id="rId3162" Type="http://schemas.openxmlformats.org/officeDocument/2006/relationships/hyperlink" Target="https://talan.bank.gov.ua/get-user-certificate/J5325qac2GsYDYp1a3Nw" TargetMode="External"/><Relationship Id="rId4006" Type="http://schemas.openxmlformats.org/officeDocument/2006/relationships/hyperlink" Target="https://talan.bank.gov.ua/get-user-certificate/J5325Pf9lgtlup1beUrF" TargetMode="External"/><Relationship Id="rId4213" Type="http://schemas.openxmlformats.org/officeDocument/2006/relationships/hyperlink" Target="https://talan.bank.gov.ua/get-user-certificate/lHoZPCJ_2BWPKQM5yXQA" TargetMode="External"/><Relationship Id="rId290" Type="http://schemas.openxmlformats.org/officeDocument/2006/relationships/hyperlink" Target="https://talan.bank.gov.ua/get-user-certificate/J53250JuAGZUBfOwuRFT" TargetMode="External"/><Relationship Id="rId3022" Type="http://schemas.openxmlformats.org/officeDocument/2006/relationships/hyperlink" Target="https://talan.bank.gov.ua/get-user-certificate/J5325tQyXzQmB-Idt07U" TargetMode="External"/><Relationship Id="rId150" Type="http://schemas.openxmlformats.org/officeDocument/2006/relationships/hyperlink" Target="https://talan.bank.gov.ua/get-user-certificate/J5325oPpvFig_mpNWDyq" TargetMode="External"/><Relationship Id="rId3979" Type="http://schemas.openxmlformats.org/officeDocument/2006/relationships/hyperlink" Target="https://talan.bank.gov.ua/get-user-certificate/J53255CQm3PNwjmtDZwO" TargetMode="External"/><Relationship Id="rId2788" Type="http://schemas.openxmlformats.org/officeDocument/2006/relationships/hyperlink" Target="https://talan.bank.gov.ua/get-user-certificate/J5325oZ1z4MW_ff75kU1" TargetMode="External"/><Relationship Id="rId2995" Type="http://schemas.openxmlformats.org/officeDocument/2006/relationships/hyperlink" Target="https://talan.bank.gov.ua/get-user-certificate/J5325Dsb_VOqeGK0M-Hn" TargetMode="External"/><Relationship Id="rId3839" Type="http://schemas.openxmlformats.org/officeDocument/2006/relationships/hyperlink" Target="https://talan.bank.gov.ua/get-user-certificate/J5325pwLOl7CRrXPkGbR" TargetMode="External"/><Relationship Id="rId967" Type="http://schemas.openxmlformats.org/officeDocument/2006/relationships/hyperlink" Target="https://talan.bank.gov.ua/get-user-certificate/J53255ueWEboF9iXhPyi" TargetMode="External"/><Relationship Id="rId1597" Type="http://schemas.openxmlformats.org/officeDocument/2006/relationships/hyperlink" Target="https://talan.bank.gov.ua/get-user-certificate/J5325sycNIZt-KAQHsN_" TargetMode="External"/><Relationship Id="rId2648" Type="http://schemas.openxmlformats.org/officeDocument/2006/relationships/hyperlink" Target="https://talan.bank.gov.ua/get-user-certificate/J5325uSTnOuqTSSBgu2O" TargetMode="External"/><Relationship Id="rId2855" Type="http://schemas.openxmlformats.org/officeDocument/2006/relationships/hyperlink" Target="https://talan.bank.gov.ua/get-user-certificate/J5325qaUXuoVyETJ1r0f" TargetMode="External"/><Relationship Id="rId3906" Type="http://schemas.openxmlformats.org/officeDocument/2006/relationships/hyperlink" Target="https://talan.bank.gov.ua/get-user-certificate/J5325u7eYHoxu_rLPIRs" TargetMode="External"/><Relationship Id="rId96" Type="http://schemas.openxmlformats.org/officeDocument/2006/relationships/hyperlink" Target="https://talan.bank.gov.ua/get-user-certificate/J5325FaOWpN8MJOnUxEy" TargetMode="External"/><Relationship Id="rId827" Type="http://schemas.openxmlformats.org/officeDocument/2006/relationships/hyperlink" Target="https://talan.bank.gov.ua/get-user-certificate/J5325CMcdbu5oN_NYwGX" TargetMode="External"/><Relationship Id="rId1457" Type="http://schemas.openxmlformats.org/officeDocument/2006/relationships/hyperlink" Target="https://talan.bank.gov.ua/get-user-certificate/J532549Z1m6joCvWSN73" TargetMode="External"/><Relationship Id="rId1664" Type="http://schemas.openxmlformats.org/officeDocument/2006/relationships/hyperlink" Target="https://talan.bank.gov.ua/get-user-certificate/J5325BQl_gtAWwZ3pnPg" TargetMode="External"/><Relationship Id="rId1871" Type="http://schemas.openxmlformats.org/officeDocument/2006/relationships/hyperlink" Target="https://talan.bank.gov.ua/get-user-certificate/J5325bzHAmzz-1kh2cTL" TargetMode="External"/><Relationship Id="rId2508" Type="http://schemas.openxmlformats.org/officeDocument/2006/relationships/hyperlink" Target="https://talan.bank.gov.ua/get-user-certificate/J5325A1GkzGUFya-_MW3" TargetMode="External"/><Relationship Id="rId2715" Type="http://schemas.openxmlformats.org/officeDocument/2006/relationships/hyperlink" Target="https://talan.bank.gov.ua/get-user-certificate/J5325Twg5MPpxdOoQw7V" TargetMode="External"/><Relationship Id="rId2922" Type="http://schemas.openxmlformats.org/officeDocument/2006/relationships/hyperlink" Target="https://talan.bank.gov.ua/get-user-certificate/J5325jF8fzFwuxKA0pzf" TargetMode="External"/><Relationship Id="rId4070" Type="http://schemas.openxmlformats.org/officeDocument/2006/relationships/hyperlink" Target="https://talan.bank.gov.ua/get-user-certificate/J5325SuNzM0uWU2EBd-6" TargetMode="External"/><Relationship Id="rId1317" Type="http://schemas.openxmlformats.org/officeDocument/2006/relationships/hyperlink" Target="https://talan.bank.gov.ua/get-user-certificate/J5325WG-9QfspOZxiWe1" TargetMode="External"/><Relationship Id="rId1524" Type="http://schemas.openxmlformats.org/officeDocument/2006/relationships/hyperlink" Target="https://talan.bank.gov.ua/get-user-certificate/J5325QZaSsL1dzwXHVsK" TargetMode="External"/><Relationship Id="rId1731" Type="http://schemas.openxmlformats.org/officeDocument/2006/relationships/hyperlink" Target="https://talan.bank.gov.ua/get-user-certificate/J53252fJfyK8X2piA9wp" TargetMode="External"/><Relationship Id="rId23" Type="http://schemas.openxmlformats.org/officeDocument/2006/relationships/hyperlink" Target="https://talan.bank.gov.ua/get-user-certificate/J5325JUtDuNPMC_hGMMx" TargetMode="External"/><Relationship Id="rId3489" Type="http://schemas.openxmlformats.org/officeDocument/2006/relationships/hyperlink" Target="https://talan.bank.gov.ua/get-user-certificate/J5325psKAIMf7ve_7fyl" TargetMode="External"/><Relationship Id="rId3696" Type="http://schemas.openxmlformats.org/officeDocument/2006/relationships/hyperlink" Target="https://talan.bank.gov.ua/get-user-certificate/J5325zFKx1e_6gYu0BOC" TargetMode="External"/><Relationship Id="rId2298" Type="http://schemas.openxmlformats.org/officeDocument/2006/relationships/hyperlink" Target="https://talan.bank.gov.ua/get-user-certificate/J5325nwB1zQLJjLb1YzJ" TargetMode="External"/><Relationship Id="rId3349" Type="http://schemas.openxmlformats.org/officeDocument/2006/relationships/hyperlink" Target="https://talan.bank.gov.ua/get-user-certificate/J5325IU--GNP_ulB5ihL" TargetMode="External"/><Relationship Id="rId3556" Type="http://schemas.openxmlformats.org/officeDocument/2006/relationships/hyperlink" Target="https://talan.bank.gov.ua/get-user-certificate/J5325F2wkpZBDTrAOEjW" TargetMode="External"/><Relationship Id="rId477" Type="http://schemas.openxmlformats.org/officeDocument/2006/relationships/hyperlink" Target="https://talan.bank.gov.ua/get-user-certificate/J5325eOBc72mD-6OwQwL" TargetMode="External"/><Relationship Id="rId684" Type="http://schemas.openxmlformats.org/officeDocument/2006/relationships/hyperlink" Target="https://talan.bank.gov.ua/get-user-certificate/J5325KYXxRGtdrzD7505" TargetMode="External"/><Relationship Id="rId2158" Type="http://schemas.openxmlformats.org/officeDocument/2006/relationships/hyperlink" Target="https://talan.bank.gov.ua/get-user-certificate/J5325YtV7lOsdFE654nC" TargetMode="External"/><Relationship Id="rId2365" Type="http://schemas.openxmlformats.org/officeDocument/2006/relationships/hyperlink" Target="https://talan.bank.gov.ua/get-user-certificate/J5325Kq0z6BMdsl6JUT4" TargetMode="External"/><Relationship Id="rId3209" Type="http://schemas.openxmlformats.org/officeDocument/2006/relationships/hyperlink" Target="https://talan.bank.gov.ua/get-user-certificate/J53258gaR3WBQqMAsH1r" TargetMode="External"/><Relationship Id="rId3763" Type="http://schemas.openxmlformats.org/officeDocument/2006/relationships/hyperlink" Target="https://talan.bank.gov.ua/get-user-certificate/J5325ZnHICCw-IhPMkBx" TargetMode="External"/><Relationship Id="rId3970" Type="http://schemas.openxmlformats.org/officeDocument/2006/relationships/hyperlink" Target="https://talan.bank.gov.ua/get-user-certificate/J5325xUSwJm1l3kgmU3e" TargetMode="External"/><Relationship Id="rId337" Type="http://schemas.openxmlformats.org/officeDocument/2006/relationships/hyperlink" Target="https://talan.bank.gov.ua/get-user-certificate/J5325QswE9wiuHVdWqUs" TargetMode="External"/><Relationship Id="rId891" Type="http://schemas.openxmlformats.org/officeDocument/2006/relationships/hyperlink" Target="https://talan.bank.gov.ua/get-user-certificate/J5325KyY3gQeswS_gnqr" TargetMode="External"/><Relationship Id="rId2018" Type="http://schemas.openxmlformats.org/officeDocument/2006/relationships/hyperlink" Target="https://talan.bank.gov.ua/get-user-certificate/J5325ngogi-E9I-Vacaj" TargetMode="External"/><Relationship Id="rId2572" Type="http://schemas.openxmlformats.org/officeDocument/2006/relationships/hyperlink" Target="https://talan.bank.gov.ua/get-user-certificate/J5325q5iaMc0unKk4vSY" TargetMode="External"/><Relationship Id="rId3416" Type="http://schemas.openxmlformats.org/officeDocument/2006/relationships/hyperlink" Target="https://talan.bank.gov.ua/get-user-certificate/J53252SeqPV4rXH9uDo5" TargetMode="External"/><Relationship Id="rId3623" Type="http://schemas.openxmlformats.org/officeDocument/2006/relationships/hyperlink" Target="https://talan.bank.gov.ua/get-user-certificate/J5325EPCt9GXt9sMsX8I" TargetMode="External"/><Relationship Id="rId3830" Type="http://schemas.openxmlformats.org/officeDocument/2006/relationships/hyperlink" Target="https://talan.bank.gov.ua/get-user-certificate/J532514oll0LKg99eP2p" TargetMode="External"/><Relationship Id="rId544" Type="http://schemas.openxmlformats.org/officeDocument/2006/relationships/hyperlink" Target="https://talan.bank.gov.ua/get-user-certificate/J5325T3OZvpcl5SHMHPz" TargetMode="External"/><Relationship Id="rId751" Type="http://schemas.openxmlformats.org/officeDocument/2006/relationships/hyperlink" Target="https://talan.bank.gov.ua/get-user-certificate/J5325QFgUn1D27DyOCt1" TargetMode="External"/><Relationship Id="rId1174" Type="http://schemas.openxmlformats.org/officeDocument/2006/relationships/hyperlink" Target="https://talan.bank.gov.ua/get-user-certificate/J5325h17WHa1xKJmPsq4" TargetMode="External"/><Relationship Id="rId1381" Type="http://schemas.openxmlformats.org/officeDocument/2006/relationships/hyperlink" Target="https://talan.bank.gov.ua/get-user-certificate/J5325ZY2P6cY7k77SQHh" TargetMode="External"/><Relationship Id="rId2225" Type="http://schemas.openxmlformats.org/officeDocument/2006/relationships/hyperlink" Target="https://talan.bank.gov.ua/get-user-certificate/J5325IXSPfdJi-_Ez0m9" TargetMode="External"/><Relationship Id="rId2432" Type="http://schemas.openxmlformats.org/officeDocument/2006/relationships/hyperlink" Target="https://talan.bank.gov.ua/get-user-certificate/J5325NdpwJk2sEcpi979" TargetMode="External"/><Relationship Id="rId404" Type="http://schemas.openxmlformats.org/officeDocument/2006/relationships/hyperlink" Target="https://talan.bank.gov.ua/get-user-certificate/J5325zLOtxBI7W97HvQN" TargetMode="External"/><Relationship Id="rId611" Type="http://schemas.openxmlformats.org/officeDocument/2006/relationships/hyperlink" Target="https://talan.bank.gov.ua/get-user-certificate/J5325ZrVvvR9ut0P23cU" TargetMode="External"/><Relationship Id="rId1034" Type="http://schemas.openxmlformats.org/officeDocument/2006/relationships/hyperlink" Target="https://talan.bank.gov.ua/get-user-certificate/J5325UT9AudjM0OnaI6a" TargetMode="External"/><Relationship Id="rId1241" Type="http://schemas.openxmlformats.org/officeDocument/2006/relationships/hyperlink" Target="https://talan.bank.gov.ua/get-user-certificate/J53255zDhfs7jBU9YRz-" TargetMode="External"/><Relationship Id="rId1101" Type="http://schemas.openxmlformats.org/officeDocument/2006/relationships/hyperlink" Target="https://talan.bank.gov.ua/get-user-certificate/J53255InZW8STadv-nvx" TargetMode="External"/><Relationship Id="rId4257" Type="http://schemas.openxmlformats.org/officeDocument/2006/relationships/hyperlink" Target="https://talan.bank.gov.ua/get-user-certificate/CYWPHANKAUYfb3Zp1NCK" TargetMode="External"/><Relationship Id="rId3066" Type="http://schemas.openxmlformats.org/officeDocument/2006/relationships/hyperlink" Target="https://talan.bank.gov.ua/get-user-certificate/J53256WQYo8F5yR1BHqi" TargetMode="External"/><Relationship Id="rId3273" Type="http://schemas.openxmlformats.org/officeDocument/2006/relationships/hyperlink" Target="https://talan.bank.gov.ua/get-user-certificate/J5325dh0pS4bC1L1Uizn" TargetMode="External"/><Relationship Id="rId3480" Type="http://schemas.openxmlformats.org/officeDocument/2006/relationships/hyperlink" Target="https://talan.bank.gov.ua/get-user-certificate/J5325c9R_0vp9SvOgL9Y" TargetMode="External"/><Relationship Id="rId4117" Type="http://schemas.openxmlformats.org/officeDocument/2006/relationships/hyperlink" Target="https://talan.bank.gov.ua/get-user-certificate/J53251WQXQB1IO-3AcNV" TargetMode="External"/><Relationship Id="rId194" Type="http://schemas.openxmlformats.org/officeDocument/2006/relationships/hyperlink" Target="https://talan.bank.gov.ua/get-user-certificate/J5325CkwUCjpi0lI7xEX" TargetMode="External"/><Relationship Id="rId1918" Type="http://schemas.openxmlformats.org/officeDocument/2006/relationships/hyperlink" Target="https://talan.bank.gov.ua/get-user-certificate/J5325GZWZONt99dvxwS2" TargetMode="External"/><Relationship Id="rId2082" Type="http://schemas.openxmlformats.org/officeDocument/2006/relationships/hyperlink" Target="https://talan.bank.gov.ua/get-user-certificate/J5325UiE2EvLlK4KmlCk" TargetMode="External"/><Relationship Id="rId3133" Type="http://schemas.openxmlformats.org/officeDocument/2006/relationships/hyperlink" Target="https://talan.bank.gov.ua/get-user-certificate/J532552ou8hZQJeuOfUD" TargetMode="External"/><Relationship Id="rId261" Type="http://schemas.openxmlformats.org/officeDocument/2006/relationships/hyperlink" Target="https://talan.bank.gov.ua/get-user-certificate/J5325Rfcz5gDEvd1rRjj" TargetMode="External"/><Relationship Id="rId3340" Type="http://schemas.openxmlformats.org/officeDocument/2006/relationships/hyperlink" Target="https://talan.bank.gov.ua/get-user-certificate/J5325pPl39abXuivQYB5" TargetMode="External"/><Relationship Id="rId2899" Type="http://schemas.openxmlformats.org/officeDocument/2006/relationships/hyperlink" Target="https://talan.bank.gov.ua/get-user-certificate/J5325H-T34J_npPJxfpQ" TargetMode="External"/><Relationship Id="rId3200" Type="http://schemas.openxmlformats.org/officeDocument/2006/relationships/hyperlink" Target="https://talan.bank.gov.ua/get-user-certificate/J532521dbCcaDo45AhFD" TargetMode="External"/><Relationship Id="rId121" Type="http://schemas.openxmlformats.org/officeDocument/2006/relationships/hyperlink" Target="https://talan.bank.gov.ua/get-user-certificate/J53250sXNupyNmCNuyER" TargetMode="External"/><Relationship Id="rId2759" Type="http://schemas.openxmlformats.org/officeDocument/2006/relationships/hyperlink" Target="https://talan.bank.gov.ua/get-user-certificate/J5325ylEC98DolzMLSdd" TargetMode="External"/><Relationship Id="rId2966" Type="http://schemas.openxmlformats.org/officeDocument/2006/relationships/hyperlink" Target="https://talan.bank.gov.ua/get-user-certificate/J5325ClJtF2Abwo4HWfe" TargetMode="External"/><Relationship Id="rId938" Type="http://schemas.openxmlformats.org/officeDocument/2006/relationships/hyperlink" Target="https://talan.bank.gov.ua/get-user-certificate/J5325Wgv_kzpwjtDkXh9" TargetMode="External"/><Relationship Id="rId1568" Type="http://schemas.openxmlformats.org/officeDocument/2006/relationships/hyperlink" Target="https://talan.bank.gov.ua/get-user-certificate/J5325nPEgmEFyPzqbSoB" TargetMode="External"/><Relationship Id="rId1775" Type="http://schemas.openxmlformats.org/officeDocument/2006/relationships/hyperlink" Target="https://talan.bank.gov.ua/get-user-certificate/J5325rGDA45eHvxrVutT" TargetMode="External"/><Relationship Id="rId2619" Type="http://schemas.openxmlformats.org/officeDocument/2006/relationships/hyperlink" Target="https://talan.bank.gov.ua/get-user-certificate/J5325ObaIfJ4PoZjCHP7" TargetMode="External"/><Relationship Id="rId2826" Type="http://schemas.openxmlformats.org/officeDocument/2006/relationships/hyperlink" Target="https://talan.bank.gov.ua/get-user-certificate/J5325aqkK4K8f3HEJgSv" TargetMode="External"/><Relationship Id="rId4181" Type="http://schemas.openxmlformats.org/officeDocument/2006/relationships/hyperlink" Target="https://talan.bank.gov.ua/get-user-certificate/TbxZWAM-2lhlE27iruZ9" TargetMode="External"/><Relationship Id="rId67" Type="http://schemas.openxmlformats.org/officeDocument/2006/relationships/hyperlink" Target="https://talan.bank.gov.ua/get-user-certificate/J5325cyKW9XHBTu1WU1u" TargetMode="External"/><Relationship Id="rId1428" Type="http://schemas.openxmlformats.org/officeDocument/2006/relationships/hyperlink" Target="https://talan.bank.gov.ua/get-user-certificate/J5325PZHswdvp4L4BhGw" TargetMode="External"/><Relationship Id="rId1635" Type="http://schemas.openxmlformats.org/officeDocument/2006/relationships/hyperlink" Target="https://talan.bank.gov.ua/get-user-certificate/J5325zaVG7Q22FVjU3RO" TargetMode="External"/><Relationship Id="rId1982" Type="http://schemas.openxmlformats.org/officeDocument/2006/relationships/hyperlink" Target="https://talan.bank.gov.ua/get-user-certificate/J5325Fd2IMaAVncFK8PL" TargetMode="External"/><Relationship Id="rId4041" Type="http://schemas.openxmlformats.org/officeDocument/2006/relationships/hyperlink" Target="https://talan.bank.gov.ua/get-user-certificate/J5325shasyhqdy5o_yA7" TargetMode="External"/><Relationship Id="rId1842" Type="http://schemas.openxmlformats.org/officeDocument/2006/relationships/hyperlink" Target="https://talan.bank.gov.ua/get-user-certificate/J5325cE1YUCHamVjh5_u" TargetMode="External"/><Relationship Id="rId1702" Type="http://schemas.openxmlformats.org/officeDocument/2006/relationships/hyperlink" Target="https://talan.bank.gov.ua/get-user-certificate/J5325BAbGfRmqXPwwGpm" TargetMode="External"/><Relationship Id="rId3667" Type="http://schemas.openxmlformats.org/officeDocument/2006/relationships/hyperlink" Target="https://talan.bank.gov.ua/get-user-certificate/J53254tAiLU1UdSG8R_r" TargetMode="External"/><Relationship Id="rId3874" Type="http://schemas.openxmlformats.org/officeDocument/2006/relationships/hyperlink" Target="https://talan.bank.gov.ua/get-user-certificate/J5325uG8VfYTafGOwA2s" TargetMode="External"/><Relationship Id="rId588" Type="http://schemas.openxmlformats.org/officeDocument/2006/relationships/hyperlink" Target="https://talan.bank.gov.ua/get-user-certificate/J5325Qxxi9M6oUo81sWj" TargetMode="External"/><Relationship Id="rId795" Type="http://schemas.openxmlformats.org/officeDocument/2006/relationships/hyperlink" Target="https://talan.bank.gov.ua/get-user-certificate/J5325ECLut0EH4PoXOu0" TargetMode="External"/><Relationship Id="rId2269" Type="http://schemas.openxmlformats.org/officeDocument/2006/relationships/hyperlink" Target="https://talan.bank.gov.ua/get-user-certificate/J5325wn_SHFDU6aUaYcE" TargetMode="External"/><Relationship Id="rId2476" Type="http://schemas.openxmlformats.org/officeDocument/2006/relationships/hyperlink" Target="https://talan.bank.gov.ua/get-user-certificate/J5325GuKzn4zmRxuQDNn" TargetMode="External"/><Relationship Id="rId2683" Type="http://schemas.openxmlformats.org/officeDocument/2006/relationships/hyperlink" Target="https://talan.bank.gov.ua/get-user-certificate/J53253l0ORqpXsCOvCty" TargetMode="External"/><Relationship Id="rId2890" Type="http://schemas.openxmlformats.org/officeDocument/2006/relationships/hyperlink" Target="https://talan.bank.gov.ua/get-user-certificate/J5325uLR63zMGz3R3DEA" TargetMode="External"/><Relationship Id="rId3527" Type="http://schemas.openxmlformats.org/officeDocument/2006/relationships/hyperlink" Target="https://talan.bank.gov.ua/get-user-certificate/J5325UjW94I1gFmJSTnp" TargetMode="External"/><Relationship Id="rId3734" Type="http://schemas.openxmlformats.org/officeDocument/2006/relationships/hyperlink" Target="https://talan.bank.gov.ua/get-user-certificate/J532529UXNyR8cDjzOHP" TargetMode="External"/><Relationship Id="rId3941" Type="http://schemas.openxmlformats.org/officeDocument/2006/relationships/hyperlink" Target="https://talan.bank.gov.ua/get-user-certificate/J5325hdIMWDkj6seSVet" TargetMode="External"/><Relationship Id="rId448" Type="http://schemas.openxmlformats.org/officeDocument/2006/relationships/hyperlink" Target="https://talan.bank.gov.ua/get-user-certificate/J5325tRTfAw_HqSvMpPb" TargetMode="External"/><Relationship Id="rId655" Type="http://schemas.openxmlformats.org/officeDocument/2006/relationships/hyperlink" Target="https://talan.bank.gov.ua/get-user-certificate/J5325LTQPrwMXp1D_ZW2" TargetMode="External"/><Relationship Id="rId862" Type="http://schemas.openxmlformats.org/officeDocument/2006/relationships/hyperlink" Target="https://talan.bank.gov.ua/get-user-certificate/J5325GuBnEJNvvhb1tBP" TargetMode="External"/><Relationship Id="rId1078" Type="http://schemas.openxmlformats.org/officeDocument/2006/relationships/hyperlink" Target="https://talan.bank.gov.ua/get-user-certificate/J5325P8zs6BFifUFs9W7" TargetMode="External"/><Relationship Id="rId1285" Type="http://schemas.openxmlformats.org/officeDocument/2006/relationships/hyperlink" Target="https://talan.bank.gov.ua/get-user-certificate/J5325L2Hc8-KX1zPdUs8" TargetMode="External"/><Relationship Id="rId1492" Type="http://schemas.openxmlformats.org/officeDocument/2006/relationships/hyperlink" Target="https://talan.bank.gov.ua/get-user-certificate/J5325u6RZstKVerihsT3" TargetMode="External"/><Relationship Id="rId2129" Type="http://schemas.openxmlformats.org/officeDocument/2006/relationships/hyperlink" Target="https://talan.bank.gov.ua/get-user-certificate/J5325v5TfdCj3F8HGV5n" TargetMode="External"/><Relationship Id="rId2336" Type="http://schemas.openxmlformats.org/officeDocument/2006/relationships/hyperlink" Target="https://talan.bank.gov.ua/get-user-certificate/J5325-blPxod9lVKCKz1" TargetMode="External"/><Relationship Id="rId2543" Type="http://schemas.openxmlformats.org/officeDocument/2006/relationships/hyperlink" Target="https://talan.bank.gov.ua/get-user-certificate/J5325R1zRVnozM9SPYpL" TargetMode="External"/><Relationship Id="rId2750" Type="http://schemas.openxmlformats.org/officeDocument/2006/relationships/hyperlink" Target="https://talan.bank.gov.ua/get-user-certificate/J5325xHfUZmN9Ml20k7z" TargetMode="External"/><Relationship Id="rId3801" Type="http://schemas.openxmlformats.org/officeDocument/2006/relationships/hyperlink" Target="https://talan.bank.gov.ua/get-user-certificate/J5325sCAaTxpyIO6FJCp" TargetMode="External"/><Relationship Id="rId308" Type="http://schemas.openxmlformats.org/officeDocument/2006/relationships/hyperlink" Target="https://talan.bank.gov.ua/get-user-certificate/J5325v1aoIvP3L0iqFGD" TargetMode="External"/><Relationship Id="rId515" Type="http://schemas.openxmlformats.org/officeDocument/2006/relationships/hyperlink" Target="https://talan.bank.gov.ua/get-user-certificate/J5325t4PYBQifpzCtrM_" TargetMode="External"/><Relationship Id="rId722" Type="http://schemas.openxmlformats.org/officeDocument/2006/relationships/hyperlink" Target="https://talan.bank.gov.ua/get-user-certificate/J5325qZrsKtxOtdC2V8X" TargetMode="External"/><Relationship Id="rId1145" Type="http://schemas.openxmlformats.org/officeDocument/2006/relationships/hyperlink" Target="https://talan.bank.gov.ua/get-user-certificate/J5325rgiokQkrK6WtRnR" TargetMode="External"/><Relationship Id="rId1352" Type="http://schemas.openxmlformats.org/officeDocument/2006/relationships/hyperlink" Target="https://talan.bank.gov.ua/get-user-certificate/J5325eyBbZJ1GIGwe1tL" TargetMode="External"/><Relationship Id="rId2403" Type="http://schemas.openxmlformats.org/officeDocument/2006/relationships/hyperlink" Target="https://talan.bank.gov.ua/get-user-certificate/J5325coEbznOUt9GVM_r" TargetMode="External"/><Relationship Id="rId1005" Type="http://schemas.openxmlformats.org/officeDocument/2006/relationships/hyperlink" Target="https://talan.bank.gov.ua/get-user-certificate/J5325t1QgESDHjEEtR7F" TargetMode="External"/><Relationship Id="rId1212" Type="http://schemas.openxmlformats.org/officeDocument/2006/relationships/hyperlink" Target="https://talan.bank.gov.ua/get-user-certificate/J5325eesQQ4z1t5TXhRU" TargetMode="External"/><Relationship Id="rId2610" Type="http://schemas.openxmlformats.org/officeDocument/2006/relationships/hyperlink" Target="https://talan.bank.gov.ua/get-user-certificate/J5325nZeVMFSQw7XOLxm" TargetMode="External"/><Relationship Id="rId3177" Type="http://schemas.openxmlformats.org/officeDocument/2006/relationships/hyperlink" Target="https://talan.bank.gov.ua/get-user-certificate/J53259yxTF4Q-QBTr6uK" TargetMode="External"/><Relationship Id="rId4228" Type="http://schemas.openxmlformats.org/officeDocument/2006/relationships/hyperlink" Target="https://talan.bank.gov.ua/get-user-certificate/CYWPHzK_tdN6ILOVp24_" TargetMode="External"/><Relationship Id="rId3037" Type="http://schemas.openxmlformats.org/officeDocument/2006/relationships/hyperlink" Target="https://talan.bank.gov.ua/get-user-certificate/J5325ZImfQqBiDHjOX_v" TargetMode="External"/><Relationship Id="rId3384" Type="http://schemas.openxmlformats.org/officeDocument/2006/relationships/hyperlink" Target="https://talan.bank.gov.ua/get-user-certificate/J5325fkq55K8I_9olY0b" TargetMode="External"/><Relationship Id="rId3591" Type="http://schemas.openxmlformats.org/officeDocument/2006/relationships/hyperlink" Target="https://talan.bank.gov.ua/get-user-certificate/J5325ymvaIYYKW4mEuVT" TargetMode="External"/><Relationship Id="rId2193" Type="http://schemas.openxmlformats.org/officeDocument/2006/relationships/hyperlink" Target="https://talan.bank.gov.ua/get-user-certificate/J53252i_pVLIBZc1LloY" TargetMode="External"/><Relationship Id="rId3244" Type="http://schemas.openxmlformats.org/officeDocument/2006/relationships/hyperlink" Target="https://talan.bank.gov.ua/get-user-certificate/J5325L7ftGuMBxUioFFH" TargetMode="External"/><Relationship Id="rId3451" Type="http://schemas.openxmlformats.org/officeDocument/2006/relationships/hyperlink" Target="https://talan.bank.gov.ua/get-user-certificate/J5325mmXUcIqF8czOoFM" TargetMode="External"/><Relationship Id="rId165" Type="http://schemas.openxmlformats.org/officeDocument/2006/relationships/hyperlink" Target="https://talan.bank.gov.ua/get-user-certificate/J53256p0Ww9MWrL-ZIXO" TargetMode="External"/><Relationship Id="rId372" Type="http://schemas.openxmlformats.org/officeDocument/2006/relationships/hyperlink" Target="https://talan.bank.gov.ua/get-user-certificate/J5325bTEQDjNmR5_Tzb-" TargetMode="External"/><Relationship Id="rId2053" Type="http://schemas.openxmlformats.org/officeDocument/2006/relationships/hyperlink" Target="https://talan.bank.gov.ua/get-user-certificate/J5325rSYfnwLpB_57dgU" TargetMode="External"/><Relationship Id="rId2260" Type="http://schemas.openxmlformats.org/officeDocument/2006/relationships/hyperlink" Target="https://talan.bank.gov.ua/get-user-certificate/J5325ukcufmDYyeJa3l9" TargetMode="External"/><Relationship Id="rId3104" Type="http://schemas.openxmlformats.org/officeDocument/2006/relationships/hyperlink" Target="https://talan.bank.gov.ua/get-user-certificate/J5325JEsc6cN4J4Nh7wL" TargetMode="External"/><Relationship Id="rId3311" Type="http://schemas.openxmlformats.org/officeDocument/2006/relationships/hyperlink" Target="https://talan.bank.gov.ua/get-user-certificate/J5325ew1KCOieG78hL8G" TargetMode="External"/><Relationship Id="rId232" Type="http://schemas.openxmlformats.org/officeDocument/2006/relationships/hyperlink" Target="https://talan.bank.gov.ua/get-user-certificate/J5325mHZv5HQ7Tqo00kt" TargetMode="External"/><Relationship Id="rId2120" Type="http://schemas.openxmlformats.org/officeDocument/2006/relationships/hyperlink" Target="https://talan.bank.gov.ua/get-user-certificate/J5325yz_PgrLnf0U7f3X" TargetMode="External"/><Relationship Id="rId1679" Type="http://schemas.openxmlformats.org/officeDocument/2006/relationships/hyperlink" Target="https://talan.bank.gov.ua/get-user-certificate/J5325mF_SBg0SEE0SXHv" TargetMode="External"/><Relationship Id="rId4085" Type="http://schemas.openxmlformats.org/officeDocument/2006/relationships/hyperlink" Target="https://talan.bank.gov.ua/get-user-certificate/J5325CcVcB-NNjmkv2Ly" TargetMode="External"/><Relationship Id="rId1886" Type="http://schemas.openxmlformats.org/officeDocument/2006/relationships/hyperlink" Target="https://talan.bank.gov.ua/get-user-certificate/J5325fWcQVBjegB58A8u" TargetMode="External"/><Relationship Id="rId2937" Type="http://schemas.openxmlformats.org/officeDocument/2006/relationships/hyperlink" Target="https://talan.bank.gov.ua/get-user-certificate/J5325zQBZnqlKc2pDshV" TargetMode="External"/><Relationship Id="rId4152" Type="http://schemas.openxmlformats.org/officeDocument/2006/relationships/hyperlink" Target="https://talan.bank.gov.ua/get-user-certificate/J5325KYqK9ukpJ0RE4hp" TargetMode="External"/><Relationship Id="rId909" Type="http://schemas.openxmlformats.org/officeDocument/2006/relationships/hyperlink" Target="https://talan.bank.gov.ua/get-user-certificate/J5325oM-OLLDx7p59drR" TargetMode="External"/><Relationship Id="rId1539" Type="http://schemas.openxmlformats.org/officeDocument/2006/relationships/hyperlink" Target="https://talan.bank.gov.ua/get-user-certificate/J5325RtG7mQCim0xNSNd" TargetMode="External"/><Relationship Id="rId1746" Type="http://schemas.openxmlformats.org/officeDocument/2006/relationships/hyperlink" Target="https://talan.bank.gov.ua/get-user-certificate/J5325jKQ3FR9KtDzmNPm" TargetMode="External"/><Relationship Id="rId1953" Type="http://schemas.openxmlformats.org/officeDocument/2006/relationships/hyperlink" Target="https://talan.bank.gov.ua/get-user-certificate/J5325Y_ROAtMHck4E-PE" TargetMode="External"/><Relationship Id="rId38" Type="http://schemas.openxmlformats.org/officeDocument/2006/relationships/hyperlink" Target="https://talan.bank.gov.ua/get-user-certificate/J5325XKh7wzC18B3jG6I" TargetMode="External"/><Relationship Id="rId1606" Type="http://schemas.openxmlformats.org/officeDocument/2006/relationships/hyperlink" Target="https://talan.bank.gov.ua/get-user-certificate/J5325lsEeVVETbeYIVDL" TargetMode="External"/><Relationship Id="rId1813" Type="http://schemas.openxmlformats.org/officeDocument/2006/relationships/hyperlink" Target="https://talan.bank.gov.ua/get-user-certificate/J5325ncWh0t47XBZwit9" TargetMode="External"/><Relationship Id="rId4012" Type="http://schemas.openxmlformats.org/officeDocument/2006/relationships/hyperlink" Target="https://talan.bank.gov.ua/get-user-certificate/J5325T685Jlu93MKRTue" TargetMode="External"/><Relationship Id="rId3778" Type="http://schemas.openxmlformats.org/officeDocument/2006/relationships/hyperlink" Target="https://talan.bank.gov.ua/get-user-certificate/J5325a3GaYfSMA3__Af1" TargetMode="External"/><Relationship Id="rId3985" Type="http://schemas.openxmlformats.org/officeDocument/2006/relationships/hyperlink" Target="https://talan.bank.gov.ua/get-user-certificate/J5325i6dugbfUk6vGkea" TargetMode="External"/><Relationship Id="rId699" Type="http://schemas.openxmlformats.org/officeDocument/2006/relationships/hyperlink" Target="https://talan.bank.gov.ua/get-user-certificate/J5325-nXiujwDwYLNM2y" TargetMode="External"/><Relationship Id="rId2587" Type="http://schemas.openxmlformats.org/officeDocument/2006/relationships/hyperlink" Target="https://talan.bank.gov.ua/get-user-certificate/J5325YgBcCU79lzHkyBr" TargetMode="External"/><Relationship Id="rId2794" Type="http://schemas.openxmlformats.org/officeDocument/2006/relationships/hyperlink" Target="https://talan.bank.gov.ua/get-user-certificate/J5325KRth1VR7rMpEEF0" TargetMode="External"/><Relationship Id="rId3638" Type="http://schemas.openxmlformats.org/officeDocument/2006/relationships/hyperlink" Target="https://talan.bank.gov.ua/get-user-certificate/J5325HzXknB3_-FH-uzm" TargetMode="External"/><Relationship Id="rId3845" Type="http://schemas.openxmlformats.org/officeDocument/2006/relationships/hyperlink" Target="https://talan.bank.gov.ua/get-user-certificate/J5325C7Uvf41qAzB0WNT" TargetMode="External"/><Relationship Id="rId559" Type="http://schemas.openxmlformats.org/officeDocument/2006/relationships/hyperlink" Target="https://talan.bank.gov.ua/get-user-certificate/J5325oCHBsw6UJ1_7T4c" TargetMode="External"/><Relationship Id="rId766" Type="http://schemas.openxmlformats.org/officeDocument/2006/relationships/hyperlink" Target="https://talan.bank.gov.ua/get-user-certificate/J5325xv_we64qOHpT8lj" TargetMode="External"/><Relationship Id="rId1189" Type="http://schemas.openxmlformats.org/officeDocument/2006/relationships/hyperlink" Target="https://talan.bank.gov.ua/get-user-certificate/J53253Q9VYSJlTNZE--D" TargetMode="External"/><Relationship Id="rId1396" Type="http://schemas.openxmlformats.org/officeDocument/2006/relationships/hyperlink" Target="https://talan.bank.gov.ua/get-user-certificate/J532582IZ-eAiqLHp-Qr" TargetMode="External"/><Relationship Id="rId2447" Type="http://schemas.openxmlformats.org/officeDocument/2006/relationships/hyperlink" Target="https://talan.bank.gov.ua/get-user-certificate/J5325UWU1ksXuAcgMb4d" TargetMode="External"/><Relationship Id="rId419" Type="http://schemas.openxmlformats.org/officeDocument/2006/relationships/hyperlink" Target="https://talan.bank.gov.ua/get-user-certificate/J5325BcWlXuPuwfBqOr8" TargetMode="External"/><Relationship Id="rId626" Type="http://schemas.openxmlformats.org/officeDocument/2006/relationships/hyperlink" Target="https://talan.bank.gov.ua/get-user-certificate/J5325pAdKT7_4Y7c9DNY" TargetMode="External"/><Relationship Id="rId973" Type="http://schemas.openxmlformats.org/officeDocument/2006/relationships/hyperlink" Target="https://talan.bank.gov.ua/get-user-certificate/J53256olPOWa63i3-pX7" TargetMode="External"/><Relationship Id="rId1049" Type="http://schemas.openxmlformats.org/officeDocument/2006/relationships/hyperlink" Target="https://talan.bank.gov.ua/get-user-certificate/J5325gp-vvWILpG8R4s4" TargetMode="External"/><Relationship Id="rId1256" Type="http://schemas.openxmlformats.org/officeDocument/2006/relationships/hyperlink" Target="https://talan.bank.gov.ua/get-user-certificate/J53250bW5exfhSl8irFf" TargetMode="External"/><Relationship Id="rId2307" Type="http://schemas.openxmlformats.org/officeDocument/2006/relationships/hyperlink" Target="https://talan.bank.gov.ua/get-user-certificate/J5325eAQ7gCM7PM5Dabm" TargetMode="External"/><Relationship Id="rId2654" Type="http://schemas.openxmlformats.org/officeDocument/2006/relationships/hyperlink" Target="https://talan.bank.gov.ua/get-user-certificate/J5325FjxSxm8Nzbaq4sS" TargetMode="External"/><Relationship Id="rId2861" Type="http://schemas.openxmlformats.org/officeDocument/2006/relationships/hyperlink" Target="https://talan.bank.gov.ua/get-user-certificate/J5325tDn8DGLOdgWgaSM" TargetMode="External"/><Relationship Id="rId3705" Type="http://schemas.openxmlformats.org/officeDocument/2006/relationships/hyperlink" Target="https://talan.bank.gov.ua/get-user-certificate/J5325XJF_gWppVLI77w-" TargetMode="External"/><Relationship Id="rId3912" Type="http://schemas.openxmlformats.org/officeDocument/2006/relationships/hyperlink" Target="https://talan.bank.gov.ua/get-user-certificate/J5325LmxV4pTMqciqNBJ" TargetMode="External"/><Relationship Id="rId833" Type="http://schemas.openxmlformats.org/officeDocument/2006/relationships/hyperlink" Target="https://talan.bank.gov.ua/get-user-certificate/J5325I-a66gBfyo7kf0J" TargetMode="External"/><Relationship Id="rId1116" Type="http://schemas.openxmlformats.org/officeDocument/2006/relationships/hyperlink" Target="https://talan.bank.gov.ua/get-user-certificate/J5325klYuIcSDVbXycp0" TargetMode="External"/><Relationship Id="rId1463" Type="http://schemas.openxmlformats.org/officeDocument/2006/relationships/hyperlink" Target="https://talan.bank.gov.ua/get-user-certificate/J53254kLnhvvnlVwml3Y" TargetMode="External"/><Relationship Id="rId1670" Type="http://schemas.openxmlformats.org/officeDocument/2006/relationships/hyperlink" Target="https://talan.bank.gov.ua/get-user-certificate/J5325PsJO3vCt5k-gAy0" TargetMode="External"/><Relationship Id="rId2514" Type="http://schemas.openxmlformats.org/officeDocument/2006/relationships/hyperlink" Target="https://talan.bank.gov.ua/get-user-certificate/J5325Xwh7ta44gx3xiGt" TargetMode="External"/><Relationship Id="rId2721" Type="http://schemas.openxmlformats.org/officeDocument/2006/relationships/hyperlink" Target="https://talan.bank.gov.ua/get-user-certificate/J5325OM6AG7GWDC3vCC5" TargetMode="External"/><Relationship Id="rId900" Type="http://schemas.openxmlformats.org/officeDocument/2006/relationships/hyperlink" Target="https://talan.bank.gov.ua/get-user-certificate/J5325wPOmDId0faZ6odN" TargetMode="External"/><Relationship Id="rId1323" Type="http://schemas.openxmlformats.org/officeDocument/2006/relationships/hyperlink" Target="https://talan.bank.gov.ua/get-user-certificate/J5325whTvXDYjmQ3uQIl" TargetMode="External"/><Relationship Id="rId1530" Type="http://schemas.openxmlformats.org/officeDocument/2006/relationships/hyperlink" Target="https://talan.bank.gov.ua/get-user-certificate/J5325X_0HvG7QtkgCz2V" TargetMode="External"/><Relationship Id="rId3288" Type="http://schemas.openxmlformats.org/officeDocument/2006/relationships/hyperlink" Target="https://talan.bank.gov.ua/get-user-certificate/J5325DWTa4C6UZV_bZIR" TargetMode="External"/><Relationship Id="rId3495" Type="http://schemas.openxmlformats.org/officeDocument/2006/relationships/hyperlink" Target="https://talan.bank.gov.ua/get-user-certificate/J53259-ZoAo0SEvK-sdg" TargetMode="External"/><Relationship Id="rId2097" Type="http://schemas.openxmlformats.org/officeDocument/2006/relationships/hyperlink" Target="https://talan.bank.gov.ua/get-user-certificate/J5325arnOfRTFj9S8O88" TargetMode="External"/><Relationship Id="rId3148" Type="http://schemas.openxmlformats.org/officeDocument/2006/relationships/hyperlink" Target="https://talan.bank.gov.ua/get-user-certificate/J5325X3lW8ztZOxoh36o" TargetMode="External"/><Relationship Id="rId3355" Type="http://schemas.openxmlformats.org/officeDocument/2006/relationships/hyperlink" Target="https://talan.bank.gov.ua/get-user-certificate/J5325LkMFmfWk6Ue6rnl" TargetMode="External"/><Relationship Id="rId3562" Type="http://schemas.openxmlformats.org/officeDocument/2006/relationships/hyperlink" Target="https://talan.bank.gov.ua/get-user-certificate/J53256XruWexUYqvB2Yy" TargetMode="External"/><Relationship Id="rId276" Type="http://schemas.openxmlformats.org/officeDocument/2006/relationships/hyperlink" Target="https://talan.bank.gov.ua/get-user-certificate/J5325CszQTXQsEaTonQV" TargetMode="External"/><Relationship Id="rId483" Type="http://schemas.openxmlformats.org/officeDocument/2006/relationships/hyperlink" Target="https://talan.bank.gov.ua/get-user-certificate/J5325ijkl0CZFSUd61Dh" TargetMode="External"/><Relationship Id="rId690" Type="http://schemas.openxmlformats.org/officeDocument/2006/relationships/hyperlink" Target="https://talan.bank.gov.ua/get-user-certificate/J53252IdSutEihu4bl2z" TargetMode="External"/><Relationship Id="rId2164" Type="http://schemas.openxmlformats.org/officeDocument/2006/relationships/hyperlink" Target="https://talan.bank.gov.ua/get-user-certificate/J5325y7r1qZHiyLWgA7f" TargetMode="External"/><Relationship Id="rId2371" Type="http://schemas.openxmlformats.org/officeDocument/2006/relationships/hyperlink" Target="https://talan.bank.gov.ua/get-user-certificate/J5325AQUoaGRZc2gc5ks" TargetMode="External"/><Relationship Id="rId3008" Type="http://schemas.openxmlformats.org/officeDocument/2006/relationships/hyperlink" Target="https://talan.bank.gov.ua/get-user-certificate/J5325ZiTqGlXf2zQAHT5" TargetMode="External"/><Relationship Id="rId3215" Type="http://schemas.openxmlformats.org/officeDocument/2006/relationships/hyperlink" Target="https://talan.bank.gov.ua/get-user-certificate/J53256h4NqugINn2kBqo" TargetMode="External"/><Relationship Id="rId3422" Type="http://schemas.openxmlformats.org/officeDocument/2006/relationships/hyperlink" Target="https://talan.bank.gov.ua/get-user-certificate/J5325mGnOx_aKSGm6uWp" TargetMode="External"/><Relationship Id="rId136" Type="http://schemas.openxmlformats.org/officeDocument/2006/relationships/hyperlink" Target="https://talan.bank.gov.ua/get-user-certificate/J5325Pjp4yNb2u-GT60T" TargetMode="External"/><Relationship Id="rId343" Type="http://schemas.openxmlformats.org/officeDocument/2006/relationships/hyperlink" Target="https://talan.bank.gov.ua/get-user-certificate/J5325jSn-IA2pQ_LcMVA" TargetMode="External"/><Relationship Id="rId550" Type="http://schemas.openxmlformats.org/officeDocument/2006/relationships/hyperlink" Target="https://talan.bank.gov.ua/get-user-certificate/J5325GFZ8LcFpAwcSu9X" TargetMode="External"/><Relationship Id="rId1180" Type="http://schemas.openxmlformats.org/officeDocument/2006/relationships/hyperlink" Target="https://talan.bank.gov.ua/get-user-certificate/J5325J0t7Ocf_yHZM8AQ" TargetMode="External"/><Relationship Id="rId2024" Type="http://schemas.openxmlformats.org/officeDocument/2006/relationships/hyperlink" Target="https://talan.bank.gov.ua/get-user-certificate/J5325lP1Mf-cWeUVIZS3" TargetMode="External"/><Relationship Id="rId2231" Type="http://schemas.openxmlformats.org/officeDocument/2006/relationships/hyperlink" Target="https://talan.bank.gov.ua/get-user-certificate/J5325-EyBpCC3AwRQBmA" TargetMode="External"/><Relationship Id="rId203" Type="http://schemas.openxmlformats.org/officeDocument/2006/relationships/hyperlink" Target="https://talan.bank.gov.ua/get-user-certificate/J5325YVzAIXUDv22fKsI" TargetMode="External"/><Relationship Id="rId1040" Type="http://schemas.openxmlformats.org/officeDocument/2006/relationships/hyperlink" Target="https://talan.bank.gov.ua/get-user-certificate/J53255a-aUoTMAjay7oi" TargetMode="External"/><Relationship Id="rId4196" Type="http://schemas.openxmlformats.org/officeDocument/2006/relationships/hyperlink" Target="https://talan.bank.gov.ua/get-user-certificate/TbxZWDLhn6Tsyu82sITA" TargetMode="External"/><Relationship Id="rId410" Type="http://schemas.openxmlformats.org/officeDocument/2006/relationships/hyperlink" Target="https://talan.bank.gov.ua/get-user-certificate/J5325s2IGDlwGq9AFTca" TargetMode="External"/><Relationship Id="rId1997" Type="http://schemas.openxmlformats.org/officeDocument/2006/relationships/hyperlink" Target="https://talan.bank.gov.ua/get-user-certificate/J5325Axh5aR5N95950Cq" TargetMode="External"/><Relationship Id="rId4056" Type="http://schemas.openxmlformats.org/officeDocument/2006/relationships/hyperlink" Target="https://talan.bank.gov.ua/get-user-certificate/J5325uFsTbtYxzrDfK8s" TargetMode="External"/><Relationship Id="rId1857" Type="http://schemas.openxmlformats.org/officeDocument/2006/relationships/hyperlink" Target="https://talan.bank.gov.ua/get-user-certificate/J5325SbK5LEB0gkPUhuK" TargetMode="External"/><Relationship Id="rId2908" Type="http://schemas.openxmlformats.org/officeDocument/2006/relationships/hyperlink" Target="https://talan.bank.gov.ua/get-user-certificate/J5325z3AAFy1UcFeIJJz" TargetMode="External"/><Relationship Id="rId1717" Type="http://schemas.openxmlformats.org/officeDocument/2006/relationships/hyperlink" Target="https://talan.bank.gov.ua/get-user-certificate/J5325KlwKDVukC63t9hH" TargetMode="External"/><Relationship Id="rId1924" Type="http://schemas.openxmlformats.org/officeDocument/2006/relationships/hyperlink" Target="https://talan.bank.gov.ua/get-user-certificate/J53257jp6DITDCtbtsEp" TargetMode="External"/><Relationship Id="rId3072" Type="http://schemas.openxmlformats.org/officeDocument/2006/relationships/hyperlink" Target="https://talan.bank.gov.ua/get-user-certificate/J5325FGhIxdoFEp_sk2e" TargetMode="External"/><Relationship Id="rId4123" Type="http://schemas.openxmlformats.org/officeDocument/2006/relationships/hyperlink" Target="https://talan.bank.gov.ua/get-user-certificate/J5325GrnISy0X0nTC0IW" TargetMode="External"/><Relationship Id="rId3889" Type="http://schemas.openxmlformats.org/officeDocument/2006/relationships/hyperlink" Target="https://talan.bank.gov.ua/get-user-certificate/J5325oRGTruFCIj-jBKL" TargetMode="External"/><Relationship Id="rId2698" Type="http://schemas.openxmlformats.org/officeDocument/2006/relationships/hyperlink" Target="https://talan.bank.gov.ua/get-user-certificate/J5325yf5x142ne4d9k_-" TargetMode="External"/><Relationship Id="rId3749" Type="http://schemas.openxmlformats.org/officeDocument/2006/relationships/hyperlink" Target="https://talan.bank.gov.ua/get-user-certificate/J5325cCs3p96Slzvwfig" TargetMode="External"/><Relationship Id="rId3956" Type="http://schemas.openxmlformats.org/officeDocument/2006/relationships/hyperlink" Target="https://talan.bank.gov.ua/get-user-certificate/J53250e203exFge0sU6m" TargetMode="External"/><Relationship Id="rId877" Type="http://schemas.openxmlformats.org/officeDocument/2006/relationships/hyperlink" Target="https://talan.bank.gov.ua/get-user-certificate/J5325yoKPWoNdQTQo7C7" TargetMode="External"/><Relationship Id="rId2558" Type="http://schemas.openxmlformats.org/officeDocument/2006/relationships/hyperlink" Target="https://talan.bank.gov.ua/get-user-certificate/J5325Z0v7TyfV5c6bEYi" TargetMode="External"/><Relationship Id="rId2765" Type="http://schemas.openxmlformats.org/officeDocument/2006/relationships/hyperlink" Target="https://talan.bank.gov.ua/get-user-certificate/J5325KbmJqOBUa60SN4B" TargetMode="External"/><Relationship Id="rId2972" Type="http://schemas.openxmlformats.org/officeDocument/2006/relationships/hyperlink" Target="https://talan.bank.gov.ua/get-user-certificate/J5325o3IeDDCOt3uxwdt" TargetMode="External"/><Relationship Id="rId3609" Type="http://schemas.openxmlformats.org/officeDocument/2006/relationships/hyperlink" Target="https://talan.bank.gov.ua/get-user-certificate/J53250Q9Zt7d0Ac-0WdZ" TargetMode="External"/><Relationship Id="rId3816" Type="http://schemas.openxmlformats.org/officeDocument/2006/relationships/hyperlink" Target="https://talan.bank.gov.ua/get-user-certificate/J53258h1kIT85JPczgeS" TargetMode="External"/><Relationship Id="rId737" Type="http://schemas.openxmlformats.org/officeDocument/2006/relationships/hyperlink" Target="https://talan.bank.gov.ua/get-user-certificate/J5325fNBoGEcQDzsm8_l" TargetMode="External"/><Relationship Id="rId944" Type="http://schemas.openxmlformats.org/officeDocument/2006/relationships/hyperlink" Target="https://talan.bank.gov.ua/get-user-certificate/J5325XYwn_Rsg5uESV87" TargetMode="External"/><Relationship Id="rId1367" Type="http://schemas.openxmlformats.org/officeDocument/2006/relationships/hyperlink" Target="https://talan.bank.gov.ua/get-user-certificate/J5325U5bo-ooyN3g5HrU" TargetMode="External"/><Relationship Id="rId1574" Type="http://schemas.openxmlformats.org/officeDocument/2006/relationships/hyperlink" Target="https://talan.bank.gov.ua/get-user-certificate/J5325TeHbgVEz8z93XMl" TargetMode="External"/><Relationship Id="rId1781" Type="http://schemas.openxmlformats.org/officeDocument/2006/relationships/hyperlink" Target="https://talan.bank.gov.ua/get-user-certificate/J5325rhrYDEdqHYDHDQu" TargetMode="External"/><Relationship Id="rId2418" Type="http://schemas.openxmlformats.org/officeDocument/2006/relationships/hyperlink" Target="https://talan.bank.gov.ua/get-user-certificate/J5325Cpl7A1mOUu2zufE" TargetMode="External"/><Relationship Id="rId2625" Type="http://schemas.openxmlformats.org/officeDocument/2006/relationships/hyperlink" Target="https://talan.bank.gov.ua/get-user-certificate/J5325UtHy6jQ79jvokXr" TargetMode="External"/><Relationship Id="rId2832" Type="http://schemas.openxmlformats.org/officeDocument/2006/relationships/hyperlink" Target="https://talan.bank.gov.ua/get-user-certificate/J5325tLuNKHU5Lz7m5o0" TargetMode="External"/><Relationship Id="rId73" Type="http://schemas.openxmlformats.org/officeDocument/2006/relationships/hyperlink" Target="https://talan.bank.gov.ua/get-user-certificate/J5325gr-lf_GOhn09k0r" TargetMode="External"/><Relationship Id="rId804" Type="http://schemas.openxmlformats.org/officeDocument/2006/relationships/hyperlink" Target="https://talan.bank.gov.ua/get-user-certificate/J5325-XDZohmceXwk2Zw" TargetMode="External"/><Relationship Id="rId1227" Type="http://schemas.openxmlformats.org/officeDocument/2006/relationships/hyperlink" Target="https://talan.bank.gov.ua/get-user-certificate/J53252Wmc8JKD4KOveFA" TargetMode="External"/><Relationship Id="rId1434" Type="http://schemas.openxmlformats.org/officeDocument/2006/relationships/hyperlink" Target="https://talan.bank.gov.ua/get-user-certificate/J5325dIULQNfBGgCrmXr" TargetMode="External"/><Relationship Id="rId1641" Type="http://schemas.openxmlformats.org/officeDocument/2006/relationships/hyperlink" Target="https://talan.bank.gov.ua/get-user-certificate/J5325ald0dyeNfG2cIbf" TargetMode="External"/><Relationship Id="rId1501" Type="http://schemas.openxmlformats.org/officeDocument/2006/relationships/hyperlink" Target="https://talan.bank.gov.ua/get-user-certificate/J5325ilmHvy2llVAEumY" TargetMode="External"/><Relationship Id="rId3399" Type="http://schemas.openxmlformats.org/officeDocument/2006/relationships/hyperlink" Target="https://talan.bank.gov.ua/get-user-certificate/J5325fOf6pAQ2pxiG26T" TargetMode="External"/><Relationship Id="rId3259" Type="http://schemas.openxmlformats.org/officeDocument/2006/relationships/hyperlink" Target="https://talan.bank.gov.ua/get-user-certificate/J5325gzJYuI_zh5zmSAD" TargetMode="External"/><Relationship Id="rId3466" Type="http://schemas.openxmlformats.org/officeDocument/2006/relationships/hyperlink" Target="https://talan.bank.gov.ua/get-user-certificate/J5325EqJvOCX4i6SZHxc" TargetMode="External"/><Relationship Id="rId387" Type="http://schemas.openxmlformats.org/officeDocument/2006/relationships/hyperlink" Target="https://talan.bank.gov.ua/get-user-certificate/J5325Ea95SzZgft6XVNX" TargetMode="External"/><Relationship Id="rId594" Type="http://schemas.openxmlformats.org/officeDocument/2006/relationships/hyperlink" Target="https://talan.bank.gov.ua/get-user-certificate/J5325cm4--FdqomSE3MV" TargetMode="External"/><Relationship Id="rId2068" Type="http://schemas.openxmlformats.org/officeDocument/2006/relationships/hyperlink" Target="https://talan.bank.gov.ua/get-user-certificate/J53255_Qs_yH4FhXi3wy" TargetMode="External"/><Relationship Id="rId2275" Type="http://schemas.openxmlformats.org/officeDocument/2006/relationships/hyperlink" Target="https://talan.bank.gov.ua/get-user-certificate/J53252kFs931aYJUhsEp" TargetMode="External"/><Relationship Id="rId3119" Type="http://schemas.openxmlformats.org/officeDocument/2006/relationships/hyperlink" Target="https://talan.bank.gov.ua/get-user-certificate/J5325QB9W-imflfF7Rhx" TargetMode="External"/><Relationship Id="rId3326" Type="http://schemas.openxmlformats.org/officeDocument/2006/relationships/hyperlink" Target="https://talan.bank.gov.ua/get-user-certificate/J5325pHy8WFSJ-8ltJd2" TargetMode="External"/><Relationship Id="rId3673" Type="http://schemas.openxmlformats.org/officeDocument/2006/relationships/hyperlink" Target="https://talan.bank.gov.ua/get-user-certificate/J5325VkYfiTBXGd5Yla0" TargetMode="External"/><Relationship Id="rId3880" Type="http://schemas.openxmlformats.org/officeDocument/2006/relationships/hyperlink" Target="https://talan.bank.gov.ua/get-user-certificate/J5325OHVcziys2gV1_LA" TargetMode="External"/><Relationship Id="rId247" Type="http://schemas.openxmlformats.org/officeDocument/2006/relationships/hyperlink" Target="https://talan.bank.gov.ua/get-user-certificate/J5325bh8gG3Z06T0h5Gw" TargetMode="External"/><Relationship Id="rId1084" Type="http://schemas.openxmlformats.org/officeDocument/2006/relationships/hyperlink" Target="https://talan.bank.gov.ua/get-user-certificate/J53251kp4G3iDhGvYbzu" TargetMode="External"/><Relationship Id="rId2482" Type="http://schemas.openxmlformats.org/officeDocument/2006/relationships/hyperlink" Target="https://talan.bank.gov.ua/get-user-certificate/J53258KNNQieevtPYvh1" TargetMode="External"/><Relationship Id="rId3533" Type="http://schemas.openxmlformats.org/officeDocument/2006/relationships/hyperlink" Target="https://talan.bank.gov.ua/get-user-certificate/J5325Z8HnAaNPKWlaOPe" TargetMode="External"/><Relationship Id="rId3740" Type="http://schemas.openxmlformats.org/officeDocument/2006/relationships/hyperlink" Target="https://talan.bank.gov.ua/get-user-certificate/J5325feAHr3qAiWbms4l" TargetMode="External"/><Relationship Id="rId107" Type="http://schemas.openxmlformats.org/officeDocument/2006/relationships/hyperlink" Target="https://talan.bank.gov.ua/get-user-certificate/J5325vuribuGcxr2OI3l" TargetMode="External"/><Relationship Id="rId454" Type="http://schemas.openxmlformats.org/officeDocument/2006/relationships/hyperlink" Target="https://talan.bank.gov.ua/get-user-certificate/J5325SjM4vzzuPndSwf5" TargetMode="External"/><Relationship Id="rId661" Type="http://schemas.openxmlformats.org/officeDocument/2006/relationships/hyperlink" Target="https://talan.bank.gov.ua/get-user-certificate/J5325csttDRPnzZdEUyy" TargetMode="External"/><Relationship Id="rId1291" Type="http://schemas.openxmlformats.org/officeDocument/2006/relationships/hyperlink" Target="https://talan.bank.gov.ua/get-user-certificate/J5325t1wctyZuYnQuVpV" TargetMode="External"/><Relationship Id="rId2135" Type="http://schemas.openxmlformats.org/officeDocument/2006/relationships/hyperlink" Target="https://talan.bank.gov.ua/get-user-certificate/J5325AFETydNQYGG1R00" TargetMode="External"/><Relationship Id="rId2342" Type="http://schemas.openxmlformats.org/officeDocument/2006/relationships/hyperlink" Target="https://talan.bank.gov.ua/get-user-certificate/J5325ge1vOgLYpZoxxh4" TargetMode="External"/><Relationship Id="rId3600" Type="http://schemas.openxmlformats.org/officeDocument/2006/relationships/hyperlink" Target="https://talan.bank.gov.ua/get-user-certificate/J53252px-fl4aBThGtMV" TargetMode="External"/><Relationship Id="rId314" Type="http://schemas.openxmlformats.org/officeDocument/2006/relationships/hyperlink" Target="https://talan.bank.gov.ua/get-user-certificate/J5325q-2rH9-4wwkhM7O" TargetMode="External"/><Relationship Id="rId521" Type="http://schemas.openxmlformats.org/officeDocument/2006/relationships/hyperlink" Target="https://talan.bank.gov.ua/get-user-certificate/J53254JsPLDBqiS0p-Ae" TargetMode="External"/><Relationship Id="rId1151" Type="http://schemas.openxmlformats.org/officeDocument/2006/relationships/hyperlink" Target="https://talan.bank.gov.ua/get-user-certificate/J5325f6s4buy_Pr9K5tp" TargetMode="External"/><Relationship Id="rId2202" Type="http://schemas.openxmlformats.org/officeDocument/2006/relationships/hyperlink" Target="https://talan.bank.gov.ua/get-user-certificate/J5325qgcwIa7ECShK_lT" TargetMode="External"/><Relationship Id="rId1011" Type="http://schemas.openxmlformats.org/officeDocument/2006/relationships/hyperlink" Target="https://talan.bank.gov.ua/get-user-certificate/J5325Ek4y6LoAUppVmq6" TargetMode="External"/><Relationship Id="rId1968" Type="http://schemas.openxmlformats.org/officeDocument/2006/relationships/hyperlink" Target="https://talan.bank.gov.ua/get-user-certificate/J5325Un0eCJTSn0cQn5x" TargetMode="External"/><Relationship Id="rId4167" Type="http://schemas.openxmlformats.org/officeDocument/2006/relationships/hyperlink" Target="https://talan.bank.gov.ua/get-user-certificate/J5325DL-jsCJmJNTjzM5" TargetMode="External"/><Relationship Id="rId3183" Type="http://schemas.openxmlformats.org/officeDocument/2006/relationships/hyperlink" Target="https://talan.bank.gov.ua/get-user-certificate/J5325ydHAVHDDU4V7DNz" TargetMode="External"/><Relationship Id="rId3390" Type="http://schemas.openxmlformats.org/officeDocument/2006/relationships/hyperlink" Target="https://talan.bank.gov.ua/get-user-certificate/J532532ioFxH9Nq3KGei" TargetMode="External"/><Relationship Id="rId4027" Type="http://schemas.openxmlformats.org/officeDocument/2006/relationships/hyperlink" Target="https://talan.bank.gov.ua/get-user-certificate/J5325b1YQ5GzDxlnjeTv" TargetMode="External"/><Relationship Id="rId4234" Type="http://schemas.openxmlformats.org/officeDocument/2006/relationships/hyperlink" Target="https://talan.bank.gov.ua/get-user-certificate/CYWPH3tdXMaSioEOW8j1" TargetMode="External"/><Relationship Id="rId1828" Type="http://schemas.openxmlformats.org/officeDocument/2006/relationships/hyperlink" Target="https://talan.bank.gov.ua/get-user-certificate/J5325hd2WoTNB6DzBvi_" TargetMode="External"/><Relationship Id="rId3043" Type="http://schemas.openxmlformats.org/officeDocument/2006/relationships/hyperlink" Target="https://talan.bank.gov.ua/get-user-certificate/J5325p0LLFEtzgSXAxAj" TargetMode="External"/><Relationship Id="rId3250" Type="http://schemas.openxmlformats.org/officeDocument/2006/relationships/hyperlink" Target="https://talan.bank.gov.ua/get-user-certificate/J5325QqEw4FmbY4PQZpA" TargetMode="External"/><Relationship Id="rId171" Type="http://schemas.openxmlformats.org/officeDocument/2006/relationships/hyperlink" Target="https://talan.bank.gov.ua/get-user-certificate/J53254Ld5KzyM8e4IZ4A" TargetMode="External"/><Relationship Id="rId3110" Type="http://schemas.openxmlformats.org/officeDocument/2006/relationships/hyperlink" Target="https://talan.bank.gov.ua/get-user-certificate/J5325D3YzSf1oQfjyPqf" TargetMode="External"/><Relationship Id="rId988" Type="http://schemas.openxmlformats.org/officeDocument/2006/relationships/hyperlink" Target="https://talan.bank.gov.ua/get-user-certificate/J5325jn3_p2v2kaa27Rz" TargetMode="External"/><Relationship Id="rId2669" Type="http://schemas.openxmlformats.org/officeDocument/2006/relationships/hyperlink" Target="https://talan.bank.gov.ua/get-user-certificate/J53251sURKRDeKR6kjJK" TargetMode="External"/><Relationship Id="rId2876" Type="http://schemas.openxmlformats.org/officeDocument/2006/relationships/hyperlink" Target="https://talan.bank.gov.ua/get-user-certificate/J5325g4sqFHhz0m9iXJI" TargetMode="External"/><Relationship Id="rId3927" Type="http://schemas.openxmlformats.org/officeDocument/2006/relationships/hyperlink" Target="https://talan.bank.gov.ua/get-user-certificate/J5325tX0V8EZgjY-WKR-" TargetMode="External"/><Relationship Id="rId848" Type="http://schemas.openxmlformats.org/officeDocument/2006/relationships/hyperlink" Target="https://talan.bank.gov.ua/get-user-certificate/J5325JlBYuczajAlomx8" TargetMode="External"/><Relationship Id="rId1478" Type="http://schemas.openxmlformats.org/officeDocument/2006/relationships/hyperlink" Target="https://talan.bank.gov.ua/get-user-certificate/J5325oXwecIVgF4N8jii" TargetMode="External"/><Relationship Id="rId1685" Type="http://schemas.openxmlformats.org/officeDocument/2006/relationships/hyperlink" Target="https://talan.bank.gov.ua/get-user-certificate/J53258Ef2OvSc4xUGIR6" TargetMode="External"/><Relationship Id="rId1892" Type="http://schemas.openxmlformats.org/officeDocument/2006/relationships/hyperlink" Target="https://talan.bank.gov.ua/get-user-certificate/J5325oVsaIAZES5ppoHj" TargetMode="External"/><Relationship Id="rId2529" Type="http://schemas.openxmlformats.org/officeDocument/2006/relationships/hyperlink" Target="https://talan.bank.gov.ua/get-user-certificate/J5325LbzcvImsiTVBc2Z" TargetMode="External"/><Relationship Id="rId2736" Type="http://schemas.openxmlformats.org/officeDocument/2006/relationships/hyperlink" Target="https://talan.bank.gov.ua/get-user-certificate/J5325tDDZyMtpHtYuffk" TargetMode="External"/><Relationship Id="rId4091" Type="http://schemas.openxmlformats.org/officeDocument/2006/relationships/hyperlink" Target="https://talan.bank.gov.ua/get-user-certificate/J5325BRw6NaqqOh8EB56" TargetMode="External"/><Relationship Id="rId708" Type="http://schemas.openxmlformats.org/officeDocument/2006/relationships/hyperlink" Target="https://talan.bank.gov.ua/get-user-certificate/J5325ywkC-RaZJ7TCNnk" TargetMode="External"/><Relationship Id="rId915" Type="http://schemas.openxmlformats.org/officeDocument/2006/relationships/hyperlink" Target="https://talan.bank.gov.ua/get-user-certificate/J5325mf_ErB98wBc_1WR" TargetMode="External"/><Relationship Id="rId1338" Type="http://schemas.openxmlformats.org/officeDocument/2006/relationships/hyperlink" Target="https://talan.bank.gov.ua/get-user-certificate/J5325mQCWzh1IJVlBAva" TargetMode="External"/><Relationship Id="rId1545" Type="http://schemas.openxmlformats.org/officeDocument/2006/relationships/hyperlink" Target="https://talan.bank.gov.ua/get-user-certificate/J5325bEeFAoxzDPfI5lA" TargetMode="External"/><Relationship Id="rId2943" Type="http://schemas.openxmlformats.org/officeDocument/2006/relationships/hyperlink" Target="https://talan.bank.gov.ua/get-user-certificate/J5325lHrvDSHJmImL8JT" TargetMode="External"/><Relationship Id="rId1405" Type="http://schemas.openxmlformats.org/officeDocument/2006/relationships/hyperlink" Target="https://talan.bank.gov.ua/get-user-certificate/J5325_hwy2cSo0223I-H" TargetMode="External"/><Relationship Id="rId1752" Type="http://schemas.openxmlformats.org/officeDocument/2006/relationships/hyperlink" Target="https://talan.bank.gov.ua/get-user-certificate/J532566i7qU7J6jE022l" TargetMode="External"/><Relationship Id="rId2803" Type="http://schemas.openxmlformats.org/officeDocument/2006/relationships/hyperlink" Target="https://talan.bank.gov.ua/get-user-certificate/J53255VsriCcMtV3OeIP" TargetMode="External"/><Relationship Id="rId44" Type="http://schemas.openxmlformats.org/officeDocument/2006/relationships/hyperlink" Target="https://talan.bank.gov.ua/get-user-certificate/J53258htEgtO9YF43Y9Z" TargetMode="External"/><Relationship Id="rId1612" Type="http://schemas.openxmlformats.org/officeDocument/2006/relationships/hyperlink" Target="https://talan.bank.gov.ua/get-user-certificate/J5325w8PPVMNcU0NY1Km" TargetMode="External"/><Relationship Id="rId498" Type="http://schemas.openxmlformats.org/officeDocument/2006/relationships/hyperlink" Target="https://talan.bank.gov.ua/get-user-certificate/J5325dkcUKaMgmMzL3aA" TargetMode="External"/><Relationship Id="rId2179" Type="http://schemas.openxmlformats.org/officeDocument/2006/relationships/hyperlink" Target="https://talan.bank.gov.ua/get-user-certificate/J5325MEWXJwlK9DuzYSM" TargetMode="External"/><Relationship Id="rId3577" Type="http://schemas.openxmlformats.org/officeDocument/2006/relationships/hyperlink" Target="https://talan.bank.gov.ua/get-user-certificate/J5325gIrxh1ocXRFSmDd" TargetMode="External"/><Relationship Id="rId3784" Type="http://schemas.openxmlformats.org/officeDocument/2006/relationships/hyperlink" Target="https://talan.bank.gov.ua/get-user-certificate/J5325bsohq_EHBUCsEAR" TargetMode="External"/><Relationship Id="rId3991" Type="http://schemas.openxmlformats.org/officeDocument/2006/relationships/hyperlink" Target="https://talan.bank.gov.ua/get-user-certificate/J5325JBlL9bp_0jmmpNL" TargetMode="External"/><Relationship Id="rId2386" Type="http://schemas.openxmlformats.org/officeDocument/2006/relationships/hyperlink" Target="https://talan.bank.gov.ua/get-user-certificate/J5325CuDHBClulRQOAFw" TargetMode="External"/><Relationship Id="rId2593" Type="http://schemas.openxmlformats.org/officeDocument/2006/relationships/hyperlink" Target="https://talan.bank.gov.ua/get-user-certificate/J5325ac2g_CHRCZvltea" TargetMode="External"/><Relationship Id="rId3437" Type="http://schemas.openxmlformats.org/officeDocument/2006/relationships/hyperlink" Target="https://talan.bank.gov.ua/get-user-certificate/J53258voOrgtoLt2uEUE" TargetMode="External"/><Relationship Id="rId3644" Type="http://schemas.openxmlformats.org/officeDocument/2006/relationships/hyperlink" Target="https://talan.bank.gov.ua/get-user-certificate/J5325UMDJ0Guyv5A02xb" TargetMode="External"/><Relationship Id="rId3851" Type="http://schemas.openxmlformats.org/officeDocument/2006/relationships/hyperlink" Target="https://talan.bank.gov.ua/get-user-certificate/J5325g7l7xwv0oVzIhrK" TargetMode="External"/><Relationship Id="rId358" Type="http://schemas.openxmlformats.org/officeDocument/2006/relationships/hyperlink" Target="https://talan.bank.gov.ua/get-user-certificate/J5325Y0xZzWLAsk14c4s" TargetMode="External"/><Relationship Id="rId565" Type="http://schemas.openxmlformats.org/officeDocument/2006/relationships/hyperlink" Target="https://talan.bank.gov.ua/get-user-certificate/J5325_MXav764oVbOKY1" TargetMode="External"/><Relationship Id="rId772" Type="http://schemas.openxmlformats.org/officeDocument/2006/relationships/hyperlink" Target="https://talan.bank.gov.ua/get-user-certificate/J53255mW-bpDKgLCkRd2" TargetMode="External"/><Relationship Id="rId1195" Type="http://schemas.openxmlformats.org/officeDocument/2006/relationships/hyperlink" Target="https://talan.bank.gov.ua/get-user-certificate/J53255zAbg5i8NMh5jLx" TargetMode="External"/><Relationship Id="rId2039" Type="http://schemas.openxmlformats.org/officeDocument/2006/relationships/hyperlink" Target="https://talan.bank.gov.ua/get-user-certificate/J5325JjEVQPqQ3att4J_" TargetMode="External"/><Relationship Id="rId2246" Type="http://schemas.openxmlformats.org/officeDocument/2006/relationships/hyperlink" Target="https://talan.bank.gov.ua/get-user-certificate/J5325pI5ac3JejkeLAoC" TargetMode="External"/><Relationship Id="rId2453" Type="http://schemas.openxmlformats.org/officeDocument/2006/relationships/hyperlink" Target="https://talan.bank.gov.ua/get-user-certificate/J5325GSiCY_U3UZBnX2T" TargetMode="External"/><Relationship Id="rId2660" Type="http://schemas.openxmlformats.org/officeDocument/2006/relationships/hyperlink" Target="https://talan.bank.gov.ua/get-user-certificate/J5325mb1Ts-QwOtHlDbk" TargetMode="External"/><Relationship Id="rId3504" Type="http://schemas.openxmlformats.org/officeDocument/2006/relationships/hyperlink" Target="https://talan.bank.gov.ua/get-user-certificate/J5325TPdyFm5OQKXxyXi" TargetMode="External"/><Relationship Id="rId3711" Type="http://schemas.openxmlformats.org/officeDocument/2006/relationships/hyperlink" Target="https://talan.bank.gov.ua/get-user-certificate/J5325O4259tgQhnOJRWH" TargetMode="External"/><Relationship Id="rId218" Type="http://schemas.openxmlformats.org/officeDocument/2006/relationships/hyperlink" Target="https://talan.bank.gov.ua/get-user-certificate/J5325aOwuUbUYOQojdg2" TargetMode="External"/><Relationship Id="rId425" Type="http://schemas.openxmlformats.org/officeDocument/2006/relationships/hyperlink" Target="https://talan.bank.gov.ua/get-user-certificate/J53251l4R5IaNT6qN04S" TargetMode="External"/><Relationship Id="rId632" Type="http://schemas.openxmlformats.org/officeDocument/2006/relationships/hyperlink" Target="https://talan.bank.gov.ua/get-user-certificate/J5325S0KQ1pOratAntXO" TargetMode="External"/><Relationship Id="rId1055" Type="http://schemas.openxmlformats.org/officeDocument/2006/relationships/hyperlink" Target="https://talan.bank.gov.ua/get-user-certificate/J5325anovN4g2ikeP9r0" TargetMode="External"/><Relationship Id="rId1262" Type="http://schemas.openxmlformats.org/officeDocument/2006/relationships/hyperlink" Target="https://talan.bank.gov.ua/get-user-certificate/J5325L5u_kr66qiRRp-P" TargetMode="External"/><Relationship Id="rId2106" Type="http://schemas.openxmlformats.org/officeDocument/2006/relationships/hyperlink" Target="https://talan.bank.gov.ua/get-user-certificate/J53250BrmeCrVNPvm_9a" TargetMode="External"/><Relationship Id="rId2313" Type="http://schemas.openxmlformats.org/officeDocument/2006/relationships/hyperlink" Target="https://talan.bank.gov.ua/get-user-certificate/J5325Hc9QxyFbxeu0Dvh" TargetMode="External"/><Relationship Id="rId2520" Type="http://schemas.openxmlformats.org/officeDocument/2006/relationships/hyperlink" Target="https://talan.bank.gov.ua/get-user-certificate/J5325yR1OvqKFvjCDSP6" TargetMode="External"/><Relationship Id="rId1122" Type="http://schemas.openxmlformats.org/officeDocument/2006/relationships/hyperlink" Target="https://talan.bank.gov.ua/get-user-certificate/J5325Akx7c4Z9jpC4n1A" TargetMode="External"/><Relationship Id="rId3087" Type="http://schemas.openxmlformats.org/officeDocument/2006/relationships/hyperlink" Target="https://talan.bank.gov.ua/get-user-certificate/J5325XhJ5qFw6QCDHVxb" TargetMode="External"/><Relationship Id="rId3294" Type="http://schemas.openxmlformats.org/officeDocument/2006/relationships/hyperlink" Target="https://talan.bank.gov.ua/get-user-certificate/J5325pyrerQnSxqGg2Yz" TargetMode="External"/><Relationship Id="rId4138" Type="http://schemas.openxmlformats.org/officeDocument/2006/relationships/hyperlink" Target="https://talan.bank.gov.ua/get-user-certificate/J5325SXDklZROMwFGpVC" TargetMode="External"/><Relationship Id="rId1939" Type="http://schemas.openxmlformats.org/officeDocument/2006/relationships/hyperlink" Target="https://talan.bank.gov.ua/get-user-certificate/J5325rP-GQHWIUZ1DoIG" TargetMode="External"/><Relationship Id="rId3154" Type="http://schemas.openxmlformats.org/officeDocument/2006/relationships/hyperlink" Target="https://talan.bank.gov.ua/get-user-certificate/J5325Zn6ogSqcJPXQlhd" TargetMode="External"/><Relationship Id="rId3361" Type="http://schemas.openxmlformats.org/officeDocument/2006/relationships/hyperlink" Target="https://talan.bank.gov.ua/get-user-certificate/J5325XYzfTBNfHgLGc_a" TargetMode="External"/><Relationship Id="rId4205" Type="http://schemas.openxmlformats.org/officeDocument/2006/relationships/hyperlink" Target="https://talan.bank.gov.ua/get-user-certificate/TbxZWxxsuE1AagEvUIJ8" TargetMode="External"/><Relationship Id="rId282" Type="http://schemas.openxmlformats.org/officeDocument/2006/relationships/hyperlink" Target="https://talan.bank.gov.ua/get-user-certificate/J5325aoI4ZDK6u3wZ55b" TargetMode="External"/><Relationship Id="rId2170" Type="http://schemas.openxmlformats.org/officeDocument/2006/relationships/hyperlink" Target="https://talan.bank.gov.ua/get-user-certificate/J5325zXJy_W3QPiGBlUG" TargetMode="External"/><Relationship Id="rId3014" Type="http://schemas.openxmlformats.org/officeDocument/2006/relationships/hyperlink" Target="https://talan.bank.gov.ua/get-user-certificate/J5325P0TQP2ew6dcceqp" TargetMode="External"/><Relationship Id="rId3221" Type="http://schemas.openxmlformats.org/officeDocument/2006/relationships/hyperlink" Target="https://talan.bank.gov.ua/get-user-certificate/J5325LQG9ZOoj6IhZgbA" TargetMode="External"/><Relationship Id="rId8" Type="http://schemas.openxmlformats.org/officeDocument/2006/relationships/hyperlink" Target="https://talan.bank.gov.ua/get-user-certificate/J5325MMS2Fbzmu4G_jOh" TargetMode="External"/><Relationship Id="rId142" Type="http://schemas.openxmlformats.org/officeDocument/2006/relationships/hyperlink" Target="https://talan.bank.gov.ua/get-user-certificate/J5325Q6R48qr0fG3NxXb" TargetMode="External"/><Relationship Id="rId2030" Type="http://schemas.openxmlformats.org/officeDocument/2006/relationships/hyperlink" Target="https://talan.bank.gov.ua/get-user-certificate/J5325JkxBfzceMeG4C_b" TargetMode="External"/><Relationship Id="rId2987" Type="http://schemas.openxmlformats.org/officeDocument/2006/relationships/hyperlink" Target="https://talan.bank.gov.ua/get-user-certificate/J5325hfRK9SgnI1xhRsN" TargetMode="External"/><Relationship Id="rId959" Type="http://schemas.openxmlformats.org/officeDocument/2006/relationships/hyperlink" Target="https://talan.bank.gov.ua/get-user-certificate/J5325x8Nk9bGWGpniwzd" TargetMode="External"/><Relationship Id="rId1589" Type="http://schemas.openxmlformats.org/officeDocument/2006/relationships/hyperlink" Target="https://talan.bank.gov.ua/get-user-certificate/J5325mJOSkT9Moih20az" TargetMode="External"/><Relationship Id="rId1449" Type="http://schemas.openxmlformats.org/officeDocument/2006/relationships/hyperlink" Target="https://talan.bank.gov.ua/get-user-certificate/J5325JMAtDsrXXp90qAs" TargetMode="External"/><Relationship Id="rId1796" Type="http://schemas.openxmlformats.org/officeDocument/2006/relationships/hyperlink" Target="https://talan.bank.gov.ua/get-user-certificate/J53251lM-YAC7lBo1Bw-" TargetMode="External"/><Relationship Id="rId2847" Type="http://schemas.openxmlformats.org/officeDocument/2006/relationships/hyperlink" Target="https://talan.bank.gov.ua/get-user-certificate/J53256o6jM07hLtFQ0ZZ" TargetMode="External"/><Relationship Id="rId4062" Type="http://schemas.openxmlformats.org/officeDocument/2006/relationships/hyperlink" Target="https://talan.bank.gov.ua/get-user-certificate/J5325k1XrWJoMxnfeGSi" TargetMode="External"/><Relationship Id="rId88" Type="http://schemas.openxmlformats.org/officeDocument/2006/relationships/hyperlink" Target="https://talan.bank.gov.ua/get-user-certificate/J5325DajUHwIU5nZ_l_N" TargetMode="External"/><Relationship Id="rId819" Type="http://schemas.openxmlformats.org/officeDocument/2006/relationships/hyperlink" Target="https://talan.bank.gov.ua/get-user-certificate/J5325TJv59L-QPPj7Doi" TargetMode="External"/><Relationship Id="rId1656" Type="http://schemas.openxmlformats.org/officeDocument/2006/relationships/hyperlink" Target="https://talan.bank.gov.ua/get-user-certificate/J5325ApIIU8JEnayy2PG" TargetMode="External"/><Relationship Id="rId1863" Type="http://schemas.openxmlformats.org/officeDocument/2006/relationships/hyperlink" Target="https://talan.bank.gov.ua/get-user-certificate/J5325gsZi69oO85-GhOQ" TargetMode="External"/><Relationship Id="rId2707" Type="http://schemas.openxmlformats.org/officeDocument/2006/relationships/hyperlink" Target="https://talan.bank.gov.ua/get-user-certificate/J5325Qybl_mdcUiOtpd8" TargetMode="External"/><Relationship Id="rId2914" Type="http://schemas.openxmlformats.org/officeDocument/2006/relationships/hyperlink" Target="https://talan.bank.gov.ua/get-user-certificate/J5325p9-MlhaRZE81U2z" TargetMode="External"/><Relationship Id="rId1309" Type="http://schemas.openxmlformats.org/officeDocument/2006/relationships/hyperlink" Target="https://talan.bank.gov.ua/get-user-certificate/J5325O8fZX3TpRgxoVDm" TargetMode="External"/><Relationship Id="rId1516" Type="http://schemas.openxmlformats.org/officeDocument/2006/relationships/hyperlink" Target="https://talan.bank.gov.ua/get-user-certificate/J5325omDL9-awfuWwx82" TargetMode="External"/><Relationship Id="rId1723" Type="http://schemas.openxmlformats.org/officeDocument/2006/relationships/hyperlink" Target="https://talan.bank.gov.ua/get-user-certificate/J53259hIJVEWrAEjf1-w" TargetMode="External"/><Relationship Id="rId1930" Type="http://schemas.openxmlformats.org/officeDocument/2006/relationships/hyperlink" Target="https://talan.bank.gov.ua/get-user-certificate/J5325Q2CDLtARWu70LuA" TargetMode="External"/><Relationship Id="rId15" Type="http://schemas.openxmlformats.org/officeDocument/2006/relationships/hyperlink" Target="https://talan.bank.gov.ua/get-user-certificate/J5325WNqUP4pmBi1dGY5" TargetMode="External"/><Relationship Id="rId3688" Type="http://schemas.openxmlformats.org/officeDocument/2006/relationships/hyperlink" Target="https://talan.bank.gov.ua/get-user-certificate/J5325NquEnO9LBLakdrF" TargetMode="External"/><Relationship Id="rId3895" Type="http://schemas.openxmlformats.org/officeDocument/2006/relationships/hyperlink" Target="https://talan.bank.gov.ua/get-user-certificate/J53256w-4WuuiJil_Rfo" TargetMode="External"/><Relationship Id="rId2497" Type="http://schemas.openxmlformats.org/officeDocument/2006/relationships/hyperlink" Target="https://talan.bank.gov.ua/get-user-certificate/J5325SwM95yAiy3OvjM0" TargetMode="External"/><Relationship Id="rId3548" Type="http://schemas.openxmlformats.org/officeDocument/2006/relationships/hyperlink" Target="https://talan.bank.gov.ua/get-user-certificate/J5325kq9ukJrZbnNOJ4b" TargetMode="External"/><Relationship Id="rId3755" Type="http://schemas.openxmlformats.org/officeDocument/2006/relationships/hyperlink" Target="https://talan.bank.gov.ua/get-user-certificate/J53250-AMFIdkOcHDpQ_" TargetMode="External"/><Relationship Id="rId469" Type="http://schemas.openxmlformats.org/officeDocument/2006/relationships/hyperlink" Target="https://talan.bank.gov.ua/get-user-certificate/J5325Y_FCLZqUq4gO9Yg" TargetMode="External"/><Relationship Id="rId676" Type="http://schemas.openxmlformats.org/officeDocument/2006/relationships/hyperlink" Target="https://talan.bank.gov.ua/get-user-certificate/J5325EJjzm50-Ff0LAjy" TargetMode="External"/><Relationship Id="rId883" Type="http://schemas.openxmlformats.org/officeDocument/2006/relationships/hyperlink" Target="https://talan.bank.gov.ua/get-user-certificate/J5325TGbgKQDETB8f1ca" TargetMode="External"/><Relationship Id="rId1099" Type="http://schemas.openxmlformats.org/officeDocument/2006/relationships/hyperlink" Target="https://talan.bank.gov.ua/get-user-certificate/J5325pXtCn5QBhmb69L1" TargetMode="External"/><Relationship Id="rId2357" Type="http://schemas.openxmlformats.org/officeDocument/2006/relationships/hyperlink" Target="https://talan.bank.gov.ua/get-user-certificate/J5325aYZdudhp-neXJhu" TargetMode="External"/><Relationship Id="rId2564" Type="http://schemas.openxmlformats.org/officeDocument/2006/relationships/hyperlink" Target="https://talan.bank.gov.ua/get-user-certificate/J5325ZCXV7wPah0wuWU5" TargetMode="External"/><Relationship Id="rId3408" Type="http://schemas.openxmlformats.org/officeDocument/2006/relationships/hyperlink" Target="https://talan.bank.gov.ua/get-user-certificate/J5325G5op3elmNkj_gq5" TargetMode="External"/><Relationship Id="rId3615" Type="http://schemas.openxmlformats.org/officeDocument/2006/relationships/hyperlink" Target="https://talan.bank.gov.ua/get-user-certificate/J5325EFSrnj8gTZGlE-m" TargetMode="External"/><Relationship Id="rId3962" Type="http://schemas.openxmlformats.org/officeDocument/2006/relationships/hyperlink" Target="https://talan.bank.gov.ua/get-user-certificate/J5325C89FPiGe8oVajbC" TargetMode="External"/><Relationship Id="rId329" Type="http://schemas.openxmlformats.org/officeDocument/2006/relationships/hyperlink" Target="https://talan.bank.gov.ua/get-user-certificate/J5325xzCY_woVGv4kiWk" TargetMode="External"/><Relationship Id="rId536" Type="http://schemas.openxmlformats.org/officeDocument/2006/relationships/hyperlink" Target="https://talan.bank.gov.ua/get-user-certificate/J5325ohbKCCWXA1I1x6b" TargetMode="External"/><Relationship Id="rId1166" Type="http://schemas.openxmlformats.org/officeDocument/2006/relationships/hyperlink" Target="https://talan.bank.gov.ua/get-user-certificate/J5325QRCB6SNlcsAOuk1" TargetMode="External"/><Relationship Id="rId1373" Type="http://schemas.openxmlformats.org/officeDocument/2006/relationships/hyperlink" Target="https://talan.bank.gov.ua/get-user-certificate/J5325Sx0I41lBwBU3u9w" TargetMode="External"/><Relationship Id="rId2217" Type="http://schemas.openxmlformats.org/officeDocument/2006/relationships/hyperlink" Target="https://talan.bank.gov.ua/get-user-certificate/J5325x8gNuFduIAQyJxc" TargetMode="External"/><Relationship Id="rId2771" Type="http://schemas.openxmlformats.org/officeDocument/2006/relationships/hyperlink" Target="https://talan.bank.gov.ua/get-user-certificate/J5325vAwnu8rf9mumPic" TargetMode="External"/><Relationship Id="rId3822" Type="http://schemas.openxmlformats.org/officeDocument/2006/relationships/hyperlink" Target="https://talan.bank.gov.ua/get-user-certificate/J5325ObA9_sMs74JjDHR" TargetMode="External"/><Relationship Id="rId743" Type="http://schemas.openxmlformats.org/officeDocument/2006/relationships/hyperlink" Target="https://talan.bank.gov.ua/get-user-certificate/J5325VH7QKnsCpU2t9k6" TargetMode="External"/><Relationship Id="rId950" Type="http://schemas.openxmlformats.org/officeDocument/2006/relationships/hyperlink" Target="https://talan.bank.gov.ua/get-user-certificate/J5325EqGNuGfJVs4tY6Q" TargetMode="External"/><Relationship Id="rId1026" Type="http://schemas.openxmlformats.org/officeDocument/2006/relationships/hyperlink" Target="https://talan.bank.gov.ua/get-user-certificate/J532555aOYazbiyQiic6" TargetMode="External"/><Relationship Id="rId1580" Type="http://schemas.openxmlformats.org/officeDocument/2006/relationships/hyperlink" Target="https://talan.bank.gov.ua/get-user-certificate/J53259tWgq4XOFygVbii" TargetMode="External"/><Relationship Id="rId2424" Type="http://schemas.openxmlformats.org/officeDocument/2006/relationships/hyperlink" Target="https://talan.bank.gov.ua/get-user-certificate/J5325Zwp2mMXO90VOKe8" TargetMode="External"/><Relationship Id="rId2631" Type="http://schemas.openxmlformats.org/officeDocument/2006/relationships/hyperlink" Target="https://talan.bank.gov.ua/get-user-certificate/J5325RGzHYOXnQk7Bpr-" TargetMode="External"/><Relationship Id="rId603" Type="http://schemas.openxmlformats.org/officeDocument/2006/relationships/hyperlink" Target="https://talan.bank.gov.ua/get-user-certificate/J53251Ja06YAEja_s_H8" TargetMode="External"/><Relationship Id="rId810" Type="http://schemas.openxmlformats.org/officeDocument/2006/relationships/hyperlink" Target="https://talan.bank.gov.ua/get-user-certificate/J53251l7lnAlZZk6i99S" TargetMode="External"/><Relationship Id="rId1233" Type="http://schemas.openxmlformats.org/officeDocument/2006/relationships/hyperlink" Target="https://talan.bank.gov.ua/get-user-certificate/J5325uHkulFUoiRyKrib" TargetMode="External"/><Relationship Id="rId1440" Type="http://schemas.openxmlformats.org/officeDocument/2006/relationships/hyperlink" Target="https://talan.bank.gov.ua/get-user-certificate/J53258EkOCS0PyHdpbeA" TargetMode="External"/><Relationship Id="rId1300" Type="http://schemas.openxmlformats.org/officeDocument/2006/relationships/hyperlink" Target="https://talan.bank.gov.ua/get-user-certificate/J5325W1e8zOqvpcyIMrt" TargetMode="External"/><Relationship Id="rId3198" Type="http://schemas.openxmlformats.org/officeDocument/2006/relationships/hyperlink" Target="https://talan.bank.gov.ua/get-user-certificate/J53252t8GbfnlWXz9xN6" TargetMode="External"/><Relationship Id="rId4249" Type="http://schemas.openxmlformats.org/officeDocument/2006/relationships/hyperlink" Target="https://talan.bank.gov.ua/get-user-certificate/CYWPHvBKzdUVpgr_kf2A" TargetMode="External"/><Relationship Id="rId3058" Type="http://schemas.openxmlformats.org/officeDocument/2006/relationships/hyperlink" Target="https://talan.bank.gov.ua/get-user-certificate/J5325TAiGLmylf0ZkX5s" TargetMode="External"/><Relationship Id="rId3265" Type="http://schemas.openxmlformats.org/officeDocument/2006/relationships/hyperlink" Target="https://talan.bank.gov.ua/get-user-certificate/J5325uAcRo8xDNoQUuMW" TargetMode="External"/><Relationship Id="rId3472" Type="http://schemas.openxmlformats.org/officeDocument/2006/relationships/hyperlink" Target="https://talan.bank.gov.ua/get-user-certificate/J5325UUhIth3bQdQ3c99" TargetMode="External"/><Relationship Id="rId4109" Type="http://schemas.openxmlformats.org/officeDocument/2006/relationships/hyperlink" Target="https://talan.bank.gov.ua/get-user-certificate/J5325JdUmUWh63LKPm2m" TargetMode="External"/><Relationship Id="rId186" Type="http://schemas.openxmlformats.org/officeDocument/2006/relationships/hyperlink" Target="https://talan.bank.gov.ua/get-user-certificate/J5325z9CRkMNZlmF5j0B" TargetMode="External"/><Relationship Id="rId393" Type="http://schemas.openxmlformats.org/officeDocument/2006/relationships/hyperlink" Target="https://talan.bank.gov.ua/get-user-certificate/J5325xPDzj6rHu-igiUM" TargetMode="External"/><Relationship Id="rId2074" Type="http://schemas.openxmlformats.org/officeDocument/2006/relationships/hyperlink" Target="https://talan.bank.gov.ua/get-user-certificate/J5325eGQbEEiM1MHLWr8" TargetMode="External"/><Relationship Id="rId2281" Type="http://schemas.openxmlformats.org/officeDocument/2006/relationships/hyperlink" Target="https://talan.bank.gov.ua/get-user-certificate/J5325aI55qGl0H5EtP20" TargetMode="External"/><Relationship Id="rId3125" Type="http://schemas.openxmlformats.org/officeDocument/2006/relationships/hyperlink" Target="https://talan.bank.gov.ua/get-user-certificate/J5325v9CBMD8NgUuUG1Y" TargetMode="External"/><Relationship Id="rId3332" Type="http://schemas.openxmlformats.org/officeDocument/2006/relationships/hyperlink" Target="https://talan.bank.gov.ua/get-user-certificate/J53250Nu5snipwuk4VV-" TargetMode="External"/><Relationship Id="rId253" Type="http://schemas.openxmlformats.org/officeDocument/2006/relationships/hyperlink" Target="https://talan.bank.gov.ua/get-user-certificate/J53250B6bdAhG-iM87zA" TargetMode="External"/><Relationship Id="rId460" Type="http://schemas.openxmlformats.org/officeDocument/2006/relationships/hyperlink" Target="https://talan.bank.gov.ua/get-user-certificate/J5325zlifZ-oRfSU8JrR" TargetMode="External"/><Relationship Id="rId1090" Type="http://schemas.openxmlformats.org/officeDocument/2006/relationships/hyperlink" Target="https://talan.bank.gov.ua/get-user-certificate/J5325V2IZOO-gxGQL1sF" TargetMode="External"/><Relationship Id="rId2141" Type="http://schemas.openxmlformats.org/officeDocument/2006/relationships/hyperlink" Target="https://talan.bank.gov.ua/get-user-certificate/J5325qKosPrfl2pW8ubF" TargetMode="External"/><Relationship Id="rId113" Type="http://schemas.openxmlformats.org/officeDocument/2006/relationships/hyperlink" Target="https://talan.bank.gov.ua/get-user-certificate/J5325NZa9bVtqnY2wipx" TargetMode="External"/><Relationship Id="rId320" Type="http://schemas.openxmlformats.org/officeDocument/2006/relationships/hyperlink" Target="https://talan.bank.gov.ua/get-user-certificate/J5325FQiKocWtvaE_BJJ" TargetMode="External"/><Relationship Id="rId2001" Type="http://schemas.openxmlformats.org/officeDocument/2006/relationships/hyperlink" Target="https://talan.bank.gov.ua/get-user-certificate/J5325MNwct3P7PcEvj7e" TargetMode="External"/><Relationship Id="rId2958" Type="http://schemas.openxmlformats.org/officeDocument/2006/relationships/hyperlink" Target="https://talan.bank.gov.ua/get-user-certificate/J5325NqTJIeCo7rDdam7" TargetMode="External"/><Relationship Id="rId1767" Type="http://schemas.openxmlformats.org/officeDocument/2006/relationships/hyperlink" Target="https://talan.bank.gov.ua/get-user-certificate/J5325BF3jYHnegxlKkXH" TargetMode="External"/><Relationship Id="rId1974" Type="http://schemas.openxmlformats.org/officeDocument/2006/relationships/hyperlink" Target="https://talan.bank.gov.ua/get-user-certificate/J5325TzPZ_ipq9KDZVx_" TargetMode="External"/><Relationship Id="rId2818" Type="http://schemas.openxmlformats.org/officeDocument/2006/relationships/hyperlink" Target="https://talan.bank.gov.ua/get-user-certificate/J5325SO5X7Rvvgl7pc1H" TargetMode="External"/><Relationship Id="rId4173" Type="http://schemas.openxmlformats.org/officeDocument/2006/relationships/hyperlink" Target="https://talan.bank.gov.ua/get-user-certificate/TbxZW8o5pIr4pDc3hBzH" TargetMode="External"/><Relationship Id="rId59" Type="http://schemas.openxmlformats.org/officeDocument/2006/relationships/hyperlink" Target="https://talan.bank.gov.ua/get-user-certificate/J5325fOzI_ASolSc9Uka" TargetMode="External"/><Relationship Id="rId1627" Type="http://schemas.openxmlformats.org/officeDocument/2006/relationships/hyperlink" Target="https://talan.bank.gov.ua/get-user-certificate/J5325a3G463S7wDhNjCz" TargetMode="External"/><Relationship Id="rId1834" Type="http://schemas.openxmlformats.org/officeDocument/2006/relationships/hyperlink" Target="https://talan.bank.gov.ua/get-user-certificate/J5325eVVV09N3K1ijztR" TargetMode="External"/><Relationship Id="rId4033" Type="http://schemas.openxmlformats.org/officeDocument/2006/relationships/hyperlink" Target="https://talan.bank.gov.ua/get-user-certificate/J5325jG3DhwkY--Bo15V" TargetMode="External"/><Relationship Id="rId4240" Type="http://schemas.openxmlformats.org/officeDocument/2006/relationships/hyperlink" Target="https://talan.bank.gov.ua/get-user-certificate/CYWPHKJJACOTOqonKVBD" TargetMode="External"/><Relationship Id="rId3799" Type="http://schemas.openxmlformats.org/officeDocument/2006/relationships/hyperlink" Target="https://talan.bank.gov.ua/get-user-certificate/J5325iaTE6Ogr0aGmZzG" TargetMode="External"/><Relationship Id="rId4100" Type="http://schemas.openxmlformats.org/officeDocument/2006/relationships/hyperlink" Target="https://talan.bank.gov.ua/get-user-certificate/J5325SsZ64MxcC7f4O8A" TargetMode="External"/><Relationship Id="rId1901" Type="http://schemas.openxmlformats.org/officeDocument/2006/relationships/hyperlink" Target="https://talan.bank.gov.ua/get-user-certificate/J5325dpH9wE4RB3IY6G0" TargetMode="External"/><Relationship Id="rId3659" Type="http://schemas.openxmlformats.org/officeDocument/2006/relationships/hyperlink" Target="https://talan.bank.gov.ua/get-user-certificate/J5325g8CSZAKV7LbgqKW" TargetMode="External"/><Relationship Id="rId3866" Type="http://schemas.openxmlformats.org/officeDocument/2006/relationships/hyperlink" Target="https://talan.bank.gov.ua/get-user-certificate/J5325aJHS3q-4205YOVA" TargetMode="External"/><Relationship Id="rId787" Type="http://schemas.openxmlformats.org/officeDocument/2006/relationships/hyperlink" Target="https://talan.bank.gov.ua/get-user-certificate/J5325tJ1NZyrK0KpBdBR" TargetMode="External"/><Relationship Id="rId994" Type="http://schemas.openxmlformats.org/officeDocument/2006/relationships/hyperlink" Target="https://talan.bank.gov.ua/get-user-certificate/J5325O-B8hAcWmzRgCAl" TargetMode="External"/><Relationship Id="rId2468" Type="http://schemas.openxmlformats.org/officeDocument/2006/relationships/hyperlink" Target="https://talan.bank.gov.ua/get-user-certificate/J5325TRTA9lXA2oCWFAG" TargetMode="External"/><Relationship Id="rId2675" Type="http://schemas.openxmlformats.org/officeDocument/2006/relationships/hyperlink" Target="https://talan.bank.gov.ua/get-user-certificate/J5325mqKfJ6LKJPlC6kW" TargetMode="External"/><Relationship Id="rId2882" Type="http://schemas.openxmlformats.org/officeDocument/2006/relationships/hyperlink" Target="https://talan.bank.gov.ua/get-user-certificate/J5325n7MXa46PyZYJ0Ut" TargetMode="External"/><Relationship Id="rId3519" Type="http://schemas.openxmlformats.org/officeDocument/2006/relationships/hyperlink" Target="https://talan.bank.gov.ua/get-user-certificate/J5325jqQkTIM4dff5HHs" TargetMode="External"/><Relationship Id="rId3726" Type="http://schemas.openxmlformats.org/officeDocument/2006/relationships/hyperlink" Target="https://talan.bank.gov.ua/get-user-certificate/J5325r5a-vad_iKFOLXj" TargetMode="External"/><Relationship Id="rId3933" Type="http://schemas.openxmlformats.org/officeDocument/2006/relationships/hyperlink" Target="https://talan.bank.gov.ua/get-user-certificate/J5325PFHRxzHN8bCoqwW" TargetMode="External"/><Relationship Id="rId647" Type="http://schemas.openxmlformats.org/officeDocument/2006/relationships/hyperlink" Target="https://talan.bank.gov.ua/get-user-certificate/J5325QQOGuzbcng6jy49" TargetMode="External"/><Relationship Id="rId854" Type="http://schemas.openxmlformats.org/officeDocument/2006/relationships/hyperlink" Target="https://talan.bank.gov.ua/get-user-certificate/J5325X3WtRuc7vDBh2Zi" TargetMode="External"/><Relationship Id="rId1277" Type="http://schemas.openxmlformats.org/officeDocument/2006/relationships/hyperlink" Target="https://talan.bank.gov.ua/get-user-certificate/J5325dfHp5v1kHqqv-Uz" TargetMode="External"/><Relationship Id="rId1484" Type="http://schemas.openxmlformats.org/officeDocument/2006/relationships/hyperlink" Target="https://talan.bank.gov.ua/get-user-certificate/J5325f7u928nFD1Z_B5e" TargetMode="External"/><Relationship Id="rId1691" Type="http://schemas.openxmlformats.org/officeDocument/2006/relationships/hyperlink" Target="https://talan.bank.gov.ua/get-user-certificate/J5325ALDFX0RVBO5gVWB" TargetMode="External"/><Relationship Id="rId2328" Type="http://schemas.openxmlformats.org/officeDocument/2006/relationships/hyperlink" Target="https://talan.bank.gov.ua/get-user-certificate/J5325RXReEyz9sK3Q9ZU" TargetMode="External"/><Relationship Id="rId2535" Type="http://schemas.openxmlformats.org/officeDocument/2006/relationships/hyperlink" Target="https://talan.bank.gov.ua/get-user-certificate/J5325V04ewi87Q6QY1u5" TargetMode="External"/><Relationship Id="rId2742" Type="http://schemas.openxmlformats.org/officeDocument/2006/relationships/hyperlink" Target="https://talan.bank.gov.ua/get-user-certificate/J5325ZHZmOsQF4mWldXm" TargetMode="External"/><Relationship Id="rId507" Type="http://schemas.openxmlformats.org/officeDocument/2006/relationships/hyperlink" Target="https://talan.bank.gov.ua/get-user-certificate/J5325u0YjgNNRcgLPoEt" TargetMode="External"/><Relationship Id="rId714" Type="http://schemas.openxmlformats.org/officeDocument/2006/relationships/hyperlink" Target="https://talan.bank.gov.ua/get-user-certificate/J5325m_DuK4ruqzm7mW5" TargetMode="External"/><Relationship Id="rId921" Type="http://schemas.openxmlformats.org/officeDocument/2006/relationships/hyperlink" Target="https://talan.bank.gov.ua/get-user-certificate/J5325VMJYlmmKcS3Lm6V" TargetMode="External"/><Relationship Id="rId1137" Type="http://schemas.openxmlformats.org/officeDocument/2006/relationships/hyperlink" Target="https://talan.bank.gov.ua/get-user-certificate/J5325OMX9AuYVd8bVwmm" TargetMode="External"/><Relationship Id="rId1344" Type="http://schemas.openxmlformats.org/officeDocument/2006/relationships/hyperlink" Target="https://talan.bank.gov.ua/get-user-certificate/J532577XA2q79qSGczsF" TargetMode="External"/><Relationship Id="rId1551" Type="http://schemas.openxmlformats.org/officeDocument/2006/relationships/hyperlink" Target="https://talan.bank.gov.ua/get-user-certificate/J5325s9lJPyohSxJu9ms" TargetMode="External"/><Relationship Id="rId2602" Type="http://schemas.openxmlformats.org/officeDocument/2006/relationships/hyperlink" Target="https://talan.bank.gov.ua/get-user-certificate/J5325QfpL76U4XdA_nOv" TargetMode="External"/><Relationship Id="rId50" Type="http://schemas.openxmlformats.org/officeDocument/2006/relationships/hyperlink" Target="https://talan.bank.gov.ua/get-user-certificate/J5325qS8INQtlmo-Zx1A" TargetMode="External"/><Relationship Id="rId1204" Type="http://schemas.openxmlformats.org/officeDocument/2006/relationships/hyperlink" Target="https://talan.bank.gov.ua/get-user-certificate/J5325AftmpwGwW1_tL1l" TargetMode="External"/><Relationship Id="rId1411" Type="http://schemas.openxmlformats.org/officeDocument/2006/relationships/hyperlink" Target="https://talan.bank.gov.ua/get-user-certificate/J5325Iy65O4-3QMhn4r7" TargetMode="External"/><Relationship Id="rId3169" Type="http://schemas.openxmlformats.org/officeDocument/2006/relationships/hyperlink" Target="https://talan.bank.gov.ua/get-user-certificate/J5325fTNBxYmvbwDRJvQ" TargetMode="External"/><Relationship Id="rId3376" Type="http://schemas.openxmlformats.org/officeDocument/2006/relationships/hyperlink" Target="https://talan.bank.gov.ua/get-user-certificate/J53259JN00nE4O1tjNql" TargetMode="External"/><Relationship Id="rId3583" Type="http://schemas.openxmlformats.org/officeDocument/2006/relationships/hyperlink" Target="https://talan.bank.gov.ua/get-user-certificate/J5325zINTsFX0oS4S0qh" TargetMode="External"/><Relationship Id="rId297" Type="http://schemas.openxmlformats.org/officeDocument/2006/relationships/hyperlink" Target="https://talan.bank.gov.ua/get-user-certificate/J5325TvoUB0JvrlUKXxf" TargetMode="External"/><Relationship Id="rId2185" Type="http://schemas.openxmlformats.org/officeDocument/2006/relationships/hyperlink" Target="https://talan.bank.gov.ua/get-user-certificate/J5325yBUqnBXArh8eZiW" TargetMode="External"/><Relationship Id="rId2392" Type="http://schemas.openxmlformats.org/officeDocument/2006/relationships/hyperlink" Target="https://talan.bank.gov.ua/get-user-certificate/J5325Nn8md4zzLLBMbMu" TargetMode="External"/><Relationship Id="rId3029" Type="http://schemas.openxmlformats.org/officeDocument/2006/relationships/hyperlink" Target="https://talan.bank.gov.ua/get-user-certificate/J5325h8jYQJogg9sbTOo" TargetMode="External"/><Relationship Id="rId3236" Type="http://schemas.openxmlformats.org/officeDocument/2006/relationships/hyperlink" Target="https://talan.bank.gov.ua/get-user-certificate/J532526q0N4amLwyZHow" TargetMode="External"/><Relationship Id="rId3790" Type="http://schemas.openxmlformats.org/officeDocument/2006/relationships/hyperlink" Target="https://talan.bank.gov.ua/get-user-certificate/J5325pmrG6O2DzjCLAOq" TargetMode="External"/><Relationship Id="rId157" Type="http://schemas.openxmlformats.org/officeDocument/2006/relationships/hyperlink" Target="https://talan.bank.gov.ua/get-user-certificate/J5325Kz1ih0_ezG53dML" TargetMode="External"/><Relationship Id="rId364" Type="http://schemas.openxmlformats.org/officeDocument/2006/relationships/hyperlink" Target="https://talan.bank.gov.ua/get-user-certificate/J5325zifXHJxHtQDGGSA" TargetMode="External"/><Relationship Id="rId2045" Type="http://schemas.openxmlformats.org/officeDocument/2006/relationships/hyperlink" Target="https://talan.bank.gov.ua/get-user-certificate/J5325MPt0HuBKj6Yhcwk" TargetMode="External"/><Relationship Id="rId3443" Type="http://schemas.openxmlformats.org/officeDocument/2006/relationships/hyperlink" Target="https://talan.bank.gov.ua/get-user-certificate/J5325_RaX97pEcCyTFx5" TargetMode="External"/><Relationship Id="rId3650" Type="http://schemas.openxmlformats.org/officeDocument/2006/relationships/hyperlink" Target="https://talan.bank.gov.ua/get-user-certificate/J5325iPLGVvRoXbTnrzy" TargetMode="External"/><Relationship Id="rId571" Type="http://schemas.openxmlformats.org/officeDocument/2006/relationships/hyperlink" Target="https://talan.bank.gov.ua/get-user-certificate/J5325gwsbtAkIb3jupip" TargetMode="External"/><Relationship Id="rId2252" Type="http://schemas.openxmlformats.org/officeDocument/2006/relationships/hyperlink" Target="https://talan.bank.gov.ua/get-user-certificate/J5325B9WhAI_iVCFdNVQ" TargetMode="External"/><Relationship Id="rId3303" Type="http://schemas.openxmlformats.org/officeDocument/2006/relationships/hyperlink" Target="https://talan.bank.gov.ua/get-user-certificate/J5325E0VRQRazzi5u6Sg" TargetMode="External"/><Relationship Id="rId3510" Type="http://schemas.openxmlformats.org/officeDocument/2006/relationships/hyperlink" Target="https://talan.bank.gov.ua/get-user-certificate/J5325yB0sZqoiRepU7HC" TargetMode="External"/><Relationship Id="rId224" Type="http://schemas.openxmlformats.org/officeDocument/2006/relationships/hyperlink" Target="https://talan.bank.gov.ua/get-user-certificate/J5325uhKvQUqExdrtG58" TargetMode="External"/><Relationship Id="rId431" Type="http://schemas.openxmlformats.org/officeDocument/2006/relationships/hyperlink" Target="https://talan.bank.gov.ua/get-user-certificate/J5325Kw6meWF1PXzrSPT" TargetMode="External"/><Relationship Id="rId1061" Type="http://schemas.openxmlformats.org/officeDocument/2006/relationships/hyperlink" Target="https://talan.bank.gov.ua/get-user-certificate/J5325Dx971zNwCp2YJTV" TargetMode="External"/><Relationship Id="rId2112" Type="http://schemas.openxmlformats.org/officeDocument/2006/relationships/hyperlink" Target="https://talan.bank.gov.ua/get-user-certificate/J5325Yxu_npLgZDDQnxA" TargetMode="External"/><Relationship Id="rId1878" Type="http://schemas.openxmlformats.org/officeDocument/2006/relationships/hyperlink" Target="https://talan.bank.gov.ua/get-user-certificate/J5325CZdiczboFMDiUoS" TargetMode="External"/><Relationship Id="rId2929" Type="http://schemas.openxmlformats.org/officeDocument/2006/relationships/hyperlink" Target="https://talan.bank.gov.ua/get-user-certificate/J5325eP3eBO2qi-_w9G0" TargetMode="External"/><Relationship Id="rId4077" Type="http://schemas.openxmlformats.org/officeDocument/2006/relationships/hyperlink" Target="https://talan.bank.gov.ua/get-user-certificate/J5325Bc5NiMWfRQd8unb" TargetMode="External"/><Relationship Id="rId1738" Type="http://schemas.openxmlformats.org/officeDocument/2006/relationships/hyperlink" Target="https://talan.bank.gov.ua/get-user-certificate/J5325nG48zNm1KmUl-2U" TargetMode="External"/><Relationship Id="rId3093" Type="http://schemas.openxmlformats.org/officeDocument/2006/relationships/hyperlink" Target="https://talan.bank.gov.ua/get-user-certificate/J5325wRJsuImRA9nKtkn" TargetMode="External"/><Relationship Id="rId4144" Type="http://schemas.openxmlformats.org/officeDocument/2006/relationships/hyperlink" Target="https://talan.bank.gov.ua/get-user-certificate/J5325aYpKJ4oBOD-F5a1" TargetMode="External"/><Relationship Id="rId1945" Type="http://schemas.openxmlformats.org/officeDocument/2006/relationships/hyperlink" Target="https://talan.bank.gov.ua/get-user-certificate/J5325XEk1rAVDLUcFcZw" TargetMode="External"/><Relationship Id="rId3160" Type="http://schemas.openxmlformats.org/officeDocument/2006/relationships/hyperlink" Target="https://talan.bank.gov.ua/get-user-certificate/J532557V5U_zcNfYliMj" TargetMode="External"/><Relationship Id="rId4004" Type="http://schemas.openxmlformats.org/officeDocument/2006/relationships/hyperlink" Target="https://talan.bank.gov.ua/get-user-certificate/J5325pCX4R2WpyAW-2jF" TargetMode="External"/><Relationship Id="rId4211" Type="http://schemas.openxmlformats.org/officeDocument/2006/relationships/hyperlink" Target="https://talan.bank.gov.ua/get-user-certificate/lHoZPLgZhwBKbi5tCh3H" TargetMode="External"/><Relationship Id="rId1805" Type="http://schemas.openxmlformats.org/officeDocument/2006/relationships/hyperlink" Target="https://talan.bank.gov.ua/get-user-certificate/J5325Uoa3vSTQpi2CDRr" TargetMode="External"/><Relationship Id="rId3020" Type="http://schemas.openxmlformats.org/officeDocument/2006/relationships/hyperlink" Target="https://talan.bank.gov.ua/get-user-certificate/J5325cwpyL8k2X9lR-PH" TargetMode="External"/><Relationship Id="rId3977" Type="http://schemas.openxmlformats.org/officeDocument/2006/relationships/hyperlink" Target="https://talan.bank.gov.ua/get-user-certificate/J5325QHRN-i21aCyYdD9" TargetMode="External"/><Relationship Id="rId898" Type="http://schemas.openxmlformats.org/officeDocument/2006/relationships/hyperlink" Target="https://talan.bank.gov.ua/get-user-certificate/J5325oiZVAWYECfwYFTe" TargetMode="External"/><Relationship Id="rId2579" Type="http://schemas.openxmlformats.org/officeDocument/2006/relationships/hyperlink" Target="https://talan.bank.gov.ua/get-user-certificate/J53254yM9sda9Cqyc_Iu" TargetMode="External"/><Relationship Id="rId2786" Type="http://schemas.openxmlformats.org/officeDocument/2006/relationships/hyperlink" Target="https://talan.bank.gov.ua/get-user-certificate/J532575sJYnS3mOhGhkw" TargetMode="External"/><Relationship Id="rId2993" Type="http://schemas.openxmlformats.org/officeDocument/2006/relationships/hyperlink" Target="https://talan.bank.gov.ua/get-user-certificate/J5325z0ApZCziau3P2VP" TargetMode="External"/><Relationship Id="rId3837" Type="http://schemas.openxmlformats.org/officeDocument/2006/relationships/hyperlink" Target="https://talan.bank.gov.ua/get-user-certificate/J53258aBHVLa9GTGPk7B" TargetMode="External"/><Relationship Id="rId758" Type="http://schemas.openxmlformats.org/officeDocument/2006/relationships/hyperlink" Target="https://talan.bank.gov.ua/get-user-certificate/J53257HQvtHw7j-ZpdBV" TargetMode="External"/><Relationship Id="rId965" Type="http://schemas.openxmlformats.org/officeDocument/2006/relationships/hyperlink" Target="https://talan.bank.gov.ua/get-user-certificate/J53256_5-BnB_401C5Ev" TargetMode="External"/><Relationship Id="rId1388" Type="http://schemas.openxmlformats.org/officeDocument/2006/relationships/hyperlink" Target="https://talan.bank.gov.ua/get-user-certificate/J53253BT5KWGObzVyU0A" TargetMode="External"/><Relationship Id="rId1595" Type="http://schemas.openxmlformats.org/officeDocument/2006/relationships/hyperlink" Target="https://talan.bank.gov.ua/get-user-certificate/J5325nE_lGDhCkJDGE_G" TargetMode="External"/><Relationship Id="rId2439" Type="http://schemas.openxmlformats.org/officeDocument/2006/relationships/hyperlink" Target="https://talan.bank.gov.ua/get-user-certificate/J5325R305ZDETQ8jfwRq" TargetMode="External"/><Relationship Id="rId2646" Type="http://schemas.openxmlformats.org/officeDocument/2006/relationships/hyperlink" Target="https://talan.bank.gov.ua/get-user-certificate/J53253VXPEdVKAOxM26y" TargetMode="External"/><Relationship Id="rId2853" Type="http://schemas.openxmlformats.org/officeDocument/2006/relationships/hyperlink" Target="https://talan.bank.gov.ua/get-user-certificate/J5325iiLVb0huVwr30Pt" TargetMode="External"/><Relationship Id="rId3904" Type="http://schemas.openxmlformats.org/officeDocument/2006/relationships/hyperlink" Target="https://talan.bank.gov.ua/get-user-certificate/J5325snc_T0SzNByMYge" TargetMode="External"/><Relationship Id="rId94" Type="http://schemas.openxmlformats.org/officeDocument/2006/relationships/hyperlink" Target="https://talan.bank.gov.ua/get-user-certificate/J5325paC0rNnRMkkhCdF" TargetMode="External"/><Relationship Id="rId618" Type="http://schemas.openxmlformats.org/officeDocument/2006/relationships/hyperlink" Target="https://talan.bank.gov.ua/get-user-certificate/J5325NnNGafF5pOENGEG" TargetMode="External"/><Relationship Id="rId825" Type="http://schemas.openxmlformats.org/officeDocument/2006/relationships/hyperlink" Target="https://talan.bank.gov.ua/get-user-certificate/J5325TpU0RbwnTKUcCSw" TargetMode="External"/><Relationship Id="rId1248" Type="http://schemas.openxmlformats.org/officeDocument/2006/relationships/hyperlink" Target="https://talan.bank.gov.ua/get-user-certificate/J5325vtgcAkMRXeQbNNB" TargetMode="External"/><Relationship Id="rId1455" Type="http://schemas.openxmlformats.org/officeDocument/2006/relationships/hyperlink" Target="https://talan.bank.gov.ua/get-user-certificate/J5325KgA4eCTJjs5S_ao" TargetMode="External"/><Relationship Id="rId1662" Type="http://schemas.openxmlformats.org/officeDocument/2006/relationships/hyperlink" Target="https://talan.bank.gov.ua/get-user-certificate/J5325coDTBkXHGQ_Kxs2" TargetMode="External"/><Relationship Id="rId2506" Type="http://schemas.openxmlformats.org/officeDocument/2006/relationships/hyperlink" Target="https://talan.bank.gov.ua/get-user-certificate/J5325mG5n28G2czaY4jX" TargetMode="External"/><Relationship Id="rId1108" Type="http://schemas.openxmlformats.org/officeDocument/2006/relationships/hyperlink" Target="https://talan.bank.gov.ua/get-user-certificate/J5325iaqmLYPN9dR867P" TargetMode="External"/><Relationship Id="rId1315" Type="http://schemas.openxmlformats.org/officeDocument/2006/relationships/hyperlink" Target="https://talan.bank.gov.ua/get-user-certificate/J5325Ff2H4q6J_d5ZUDs" TargetMode="External"/><Relationship Id="rId2713" Type="http://schemas.openxmlformats.org/officeDocument/2006/relationships/hyperlink" Target="https://talan.bank.gov.ua/get-user-certificate/J532569rE9I_z3K1qyuf" TargetMode="External"/><Relationship Id="rId2920" Type="http://schemas.openxmlformats.org/officeDocument/2006/relationships/hyperlink" Target="https://talan.bank.gov.ua/get-user-certificate/J5325yBpNmFgTc-djOnA" TargetMode="External"/><Relationship Id="rId1522" Type="http://schemas.openxmlformats.org/officeDocument/2006/relationships/hyperlink" Target="https://talan.bank.gov.ua/get-user-certificate/J5325j7xVtp0-3aYUcxu" TargetMode="External"/><Relationship Id="rId21" Type="http://schemas.openxmlformats.org/officeDocument/2006/relationships/hyperlink" Target="https://talan.bank.gov.ua/get-user-certificate/J5325oIbcc6en8ZTpalV" TargetMode="External"/><Relationship Id="rId2089" Type="http://schemas.openxmlformats.org/officeDocument/2006/relationships/hyperlink" Target="https://talan.bank.gov.ua/get-user-certificate/J5325E3Z-Qq45iM72SGt" TargetMode="External"/><Relationship Id="rId3487" Type="http://schemas.openxmlformats.org/officeDocument/2006/relationships/hyperlink" Target="https://talan.bank.gov.ua/get-user-certificate/J5325jguGTnx8YpIc74m" TargetMode="External"/><Relationship Id="rId3694" Type="http://schemas.openxmlformats.org/officeDocument/2006/relationships/hyperlink" Target="https://talan.bank.gov.ua/get-user-certificate/J5325MjTpM4x2fHOImtq" TargetMode="External"/><Relationship Id="rId2296" Type="http://schemas.openxmlformats.org/officeDocument/2006/relationships/hyperlink" Target="https://talan.bank.gov.ua/get-user-certificate/J5325l_yRQQApCbj-_u-" TargetMode="External"/><Relationship Id="rId3347" Type="http://schemas.openxmlformats.org/officeDocument/2006/relationships/hyperlink" Target="https://talan.bank.gov.ua/get-user-certificate/J5325B5zH4rhyGyDWDpt" TargetMode="External"/><Relationship Id="rId3554" Type="http://schemas.openxmlformats.org/officeDocument/2006/relationships/hyperlink" Target="https://talan.bank.gov.ua/get-user-certificate/J5325QaZjpQSzhwswpQx" TargetMode="External"/><Relationship Id="rId3761" Type="http://schemas.openxmlformats.org/officeDocument/2006/relationships/hyperlink" Target="https://talan.bank.gov.ua/get-user-certificate/J5325ArXxmxbNR36bHlv" TargetMode="External"/><Relationship Id="rId268" Type="http://schemas.openxmlformats.org/officeDocument/2006/relationships/hyperlink" Target="https://talan.bank.gov.ua/get-user-certificate/J5325Rh6eMI05PZ8W1wU" TargetMode="External"/><Relationship Id="rId475" Type="http://schemas.openxmlformats.org/officeDocument/2006/relationships/hyperlink" Target="https://talan.bank.gov.ua/get-user-certificate/J53258meyoSlVkuouHjv" TargetMode="External"/><Relationship Id="rId682" Type="http://schemas.openxmlformats.org/officeDocument/2006/relationships/hyperlink" Target="https://talan.bank.gov.ua/get-user-certificate/J53254L4TS_sOtYS__8W" TargetMode="External"/><Relationship Id="rId2156" Type="http://schemas.openxmlformats.org/officeDocument/2006/relationships/hyperlink" Target="https://talan.bank.gov.ua/get-user-certificate/J5325rzZEH6X1xZ39Vk0" TargetMode="External"/><Relationship Id="rId2363" Type="http://schemas.openxmlformats.org/officeDocument/2006/relationships/hyperlink" Target="https://talan.bank.gov.ua/get-user-certificate/J5325GXZtLAL29A6oX0R" TargetMode="External"/><Relationship Id="rId2570" Type="http://schemas.openxmlformats.org/officeDocument/2006/relationships/hyperlink" Target="https://talan.bank.gov.ua/get-user-certificate/J53257hD3ujic8D-W1Cb" TargetMode="External"/><Relationship Id="rId3207" Type="http://schemas.openxmlformats.org/officeDocument/2006/relationships/hyperlink" Target="https://talan.bank.gov.ua/get-user-certificate/J5325GHMa4FxmWsUIu57" TargetMode="External"/><Relationship Id="rId3414" Type="http://schemas.openxmlformats.org/officeDocument/2006/relationships/hyperlink" Target="https://talan.bank.gov.ua/get-user-certificate/J5325k2iB7RlC2SvgU3s" TargetMode="External"/><Relationship Id="rId3621" Type="http://schemas.openxmlformats.org/officeDocument/2006/relationships/hyperlink" Target="https://talan.bank.gov.ua/get-user-certificate/J5325FeW1Gjd5772bJow" TargetMode="External"/><Relationship Id="rId128" Type="http://schemas.openxmlformats.org/officeDocument/2006/relationships/hyperlink" Target="https://talan.bank.gov.ua/get-user-certificate/J5325l9XGlpfgLETnCEH" TargetMode="External"/><Relationship Id="rId335" Type="http://schemas.openxmlformats.org/officeDocument/2006/relationships/hyperlink" Target="https://talan.bank.gov.ua/get-user-certificate/J5325-8pkAY2LP81tTfa" TargetMode="External"/><Relationship Id="rId542" Type="http://schemas.openxmlformats.org/officeDocument/2006/relationships/hyperlink" Target="https://talan.bank.gov.ua/get-user-certificate/J53258NbL_XFIEuAruI-" TargetMode="External"/><Relationship Id="rId1172" Type="http://schemas.openxmlformats.org/officeDocument/2006/relationships/hyperlink" Target="https://talan.bank.gov.ua/get-user-certificate/J5325IqG-5XocJu-x45a" TargetMode="External"/><Relationship Id="rId2016" Type="http://schemas.openxmlformats.org/officeDocument/2006/relationships/hyperlink" Target="https://talan.bank.gov.ua/get-user-certificate/J53250u9PltxJqYsJkJU" TargetMode="External"/><Relationship Id="rId2223" Type="http://schemas.openxmlformats.org/officeDocument/2006/relationships/hyperlink" Target="https://talan.bank.gov.ua/get-user-certificate/J5325uLuFvR6RU3BIzm9" TargetMode="External"/><Relationship Id="rId2430" Type="http://schemas.openxmlformats.org/officeDocument/2006/relationships/hyperlink" Target="https://talan.bank.gov.ua/get-user-certificate/J5325npryIMYQOE-yGCH" TargetMode="External"/><Relationship Id="rId402" Type="http://schemas.openxmlformats.org/officeDocument/2006/relationships/hyperlink" Target="https://talan.bank.gov.ua/get-user-certificate/J5325DGn5or0KNDRK1RO" TargetMode="External"/><Relationship Id="rId1032" Type="http://schemas.openxmlformats.org/officeDocument/2006/relationships/hyperlink" Target="https://talan.bank.gov.ua/get-user-certificate/J53256J89uhYzQKw1irO" TargetMode="External"/><Relationship Id="rId4188" Type="http://schemas.openxmlformats.org/officeDocument/2006/relationships/hyperlink" Target="https://talan.bank.gov.ua/get-user-certificate/TbxZW3uwJnBdU6pwkhve" TargetMode="External"/><Relationship Id="rId1989" Type="http://schemas.openxmlformats.org/officeDocument/2006/relationships/hyperlink" Target="https://talan.bank.gov.ua/get-user-certificate/J5325oxKaC8ZQSLXS6Fz" TargetMode="External"/><Relationship Id="rId4048" Type="http://schemas.openxmlformats.org/officeDocument/2006/relationships/hyperlink" Target="https://talan.bank.gov.ua/get-user-certificate/J53254oZD3NbOTl42kBQ" TargetMode="External"/><Relationship Id="rId4255" Type="http://schemas.openxmlformats.org/officeDocument/2006/relationships/hyperlink" Target="https://talan.bank.gov.ua/get-user-certificate/CYWPHQn1NstAa6c4nk7I" TargetMode="External"/><Relationship Id="rId1849" Type="http://schemas.openxmlformats.org/officeDocument/2006/relationships/hyperlink" Target="https://talan.bank.gov.ua/get-user-certificate/J5325Q8o5Hf6DGu1twvZ" TargetMode="External"/><Relationship Id="rId3064" Type="http://schemas.openxmlformats.org/officeDocument/2006/relationships/hyperlink" Target="https://talan.bank.gov.ua/get-user-certificate/J5325yentNIqz90qOTnT" TargetMode="External"/><Relationship Id="rId192" Type="http://schemas.openxmlformats.org/officeDocument/2006/relationships/hyperlink" Target="https://talan.bank.gov.ua/get-user-certificate/J5325ZXxwvHgc0zYwZjX" TargetMode="External"/><Relationship Id="rId1709" Type="http://schemas.openxmlformats.org/officeDocument/2006/relationships/hyperlink" Target="https://talan.bank.gov.ua/get-user-certificate/J5325YMScfuQihp8Kb9H" TargetMode="External"/><Relationship Id="rId1916" Type="http://schemas.openxmlformats.org/officeDocument/2006/relationships/hyperlink" Target="https://talan.bank.gov.ua/get-user-certificate/J5325NAjZe7KelssRXAj" TargetMode="External"/><Relationship Id="rId3271" Type="http://schemas.openxmlformats.org/officeDocument/2006/relationships/hyperlink" Target="https://talan.bank.gov.ua/get-user-certificate/J532569QLh-c6Kq2cxXd" TargetMode="External"/><Relationship Id="rId4115" Type="http://schemas.openxmlformats.org/officeDocument/2006/relationships/hyperlink" Target="https://talan.bank.gov.ua/get-user-certificate/J5325kIcD17soWyvYF8F" TargetMode="External"/><Relationship Id="rId2080" Type="http://schemas.openxmlformats.org/officeDocument/2006/relationships/hyperlink" Target="https://talan.bank.gov.ua/get-user-certificate/J5325KA-XQPL4mmDrYeV" TargetMode="External"/><Relationship Id="rId3131" Type="http://schemas.openxmlformats.org/officeDocument/2006/relationships/hyperlink" Target="https://talan.bank.gov.ua/get-user-certificate/J5325QsFvrAFHkuRAdQu" TargetMode="External"/><Relationship Id="rId2897" Type="http://schemas.openxmlformats.org/officeDocument/2006/relationships/hyperlink" Target="https://talan.bank.gov.ua/get-user-certificate/J5325zSOTrgYpU8zy9jK" TargetMode="External"/><Relationship Id="rId3948" Type="http://schemas.openxmlformats.org/officeDocument/2006/relationships/hyperlink" Target="https://talan.bank.gov.ua/get-user-certificate/J5325nLnA-QAXUzlQqts" TargetMode="External"/><Relationship Id="rId869" Type="http://schemas.openxmlformats.org/officeDocument/2006/relationships/hyperlink" Target="https://talan.bank.gov.ua/get-user-certificate/J5325l3-YM6KmcxfNb6C" TargetMode="External"/><Relationship Id="rId1499" Type="http://schemas.openxmlformats.org/officeDocument/2006/relationships/hyperlink" Target="https://talan.bank.gov.ua/get-user-certificate/J53252wD1eGVBWjnoPV7" TargetMode="External"/><Relationship Id="rId729" Type="http://schemas.openxmlformats.org/officeDocument/2006/relationships/hyperlink" Target="https://talan.bank.gov.ua/get-user-certificate/J5325RFYnuTw45JqNY7O" TargetMode="External"/><Relationship Id="rId1359" Type="http://schemas.openxmlformats.org/officeDocument/2006/relationships/hyperlink" Target="https://talan.bank.gov.ua/get-user-certificate/J5325pDT3jPfRMjnlTq1" TargetMode="External"/><Relationship Id="rId2757" Type="http://schemas.openxmlformats.org/officeDocument/2006/relationships/hyperlink" Target="https://talan.bank.gov.ua/get-user-certificate/J5325BxEaIcvOymMUrPB" TargetMode="External"/><Relationship Id="rId2964" Type="http://schemas.openxmlformats.org/officeDocument/2006/relationships/hyperlink" Target="https://talan.bank.gov.ua/get-user-certificate/J5325_E0sD7t2OrE3CAH" TargetMode="External"/><Relationship Id="rId3808" Type="http://schemas.openxmlformats.org/officeDocument/2006/relationships/hyperlink" Target="https://talan.bank.gov.ua/get-user-certificate/J5325G24Yn5FQJkOl-aR" TargetMode="External"/><Relationship Id="rId936" Type="http://schemas.openxmlformats.org/officeDocument/2006/relationships/hyperlink" Target="https://talan.bank.gov.ua/get-user-certificate/J53254neiFuKhCNbqiJY" TargetMode="External"/><Relationship Id="rId1219" Type="http://schemas.openxmlformats.org/officeDocument/2006/relationships/hyperlink" Target="https://talan.bank.gov.ua/get-user-certificate/J5325kCCpJ9I2hq7CXVI" TargetMode="External"/><Relationship Id="rId1566" Type="http://schemas.openxmlformats.org/officeDocument/2006/relationships/hyperlink" Target="https://talan.bank.gov.ua/get-user-certificate/J53255G2J5EiCLuoE9k9" TargetMode="External"/><Relationship Id="rId1773" Type="http://schemas.openxmlformats.org/officeDocument/2006/relationships/hyperlink" Target="https://talan.bank.gov.ua/get-user-certificate/J5325NzCjpvfAK9CDxwG" TargetMode="External"/><Relationship Id="rId1980" Type="http://schemas.openxmlformats.org/officeDocument/2006/relationships/hyperlink" Target="https://talan.bank.gov.ua/get-user-certificate/J53257dfCJ1-w3dkPXgM" TargetMode="External"/><Relationship Id="rId2617" Type="http://schemas.openxmlformats.org/officeDocument/2006/relationships/hyperlink" Target="https://talan.bank.gov.ua/get-user-certificate/J5325tCrpXq2WOkLmzud" TargetMode="External"/><Relationship Id="rId2824" Type="http://schemas.openxmlformats.org/officeDocument/2006/relationships/hyperlink" Target="https://talan.bank.gov.ua/get-user-certificate/J5325QP4pFsaDBSpnVq7" TargetMode="External"/><Relationship Id="rId65" Type="http://schemas.openxmlformats.org/officeDocument/2006/relationships/hyperlink" Target="https://talan.bank.gov.ua/get-user-certificate/J5325kZMSjVNfjDLgwRz" TargetMode="External"/><Relationship Id="rId1426" Type="http://schemas.openxmlformats.org/officeDocument/2006/relationships/hyperlink" Target="https://talan.bank.gov.ua/get-user-certificate/J5325o77Yb1keNQcfMeO" TargetMode="External"/><Relationship Id="rId1633" Type="http://schemas.openxmlformats.org/officeDocument/2006/relationships/hyperlink" Target="https://talan.bank.gov.ua/get-user-certificate/J53259ZqWG3f_EE4loPs" TargetMode="External"/><Relationship Id="rId1840" Type="http://schemas.openxmlformats.org/officeDocument/2006/relationships/hyperlink" Target="https://talan.bank.gov.ua/get-user-certificate/J5325Z21h-n1uuf5OXKo" TargetMode="External"/><Relationship Id="rId1700" Type="http://schemas.openxmlformats.org/officeDocument/2006/relationships/hyperlink" Target="https://talan.bank.gov.ua/get-user-certificate/J5325EFeBBdrHiOUNNe_" TargetMode="External"/><Relationship Id="rId3598" Type="http://schemas.openxmlformats.org/officeDocument/2006/relationships/hyperlink" Target="https://talan.bank.gov.ua/get-user-certificate/J5325rTfcL7HQYPq6BEQ" TargetMode="External"/><Relationship Id="rId3458" Type="http://schemas.openxmlformats.org/officeDocument/2006/relationships/hyperlink" Target="https://talan.bank.gov.ua/get-user-certificate/J5325jb-EDA0PE__2yd4" TargetMode="External"/><Relationship Id="rId3665" Type="http://schemas.openxmlformats.org/officeDocument/2006/relationships/hyperlink" Target="https://talan.bank.gov.ua/get-user-certificate/J53253DK8dTRnmjszQ-l" TargetMode="External"/><Relationship Id="rId3872" Type="http://schemas.openxmlformats.org/officeDocument/2006/relationships/hyperlink" Target="https://talan.bank.gov.ua/get-user-certificate/J5325u1ociOOfMONXJ5e" TargetMode="External"/><Relationship Id="rId379" Type="http://schemas.openxmlformats.org/officeDocument/2006/relationships/hyperlink" Target="https://talan.bank.gov.ua/get-user-certificate/J5325qffdG2meXytyiCW" TargetMode="External"/><Relationship Id="rId586" Type="http://schemas.openxmlformats.org/officeDocument/2006/relationships/hyperlink" Target="https://talan.bank.gov.ua/get-user-certificate/J5325QzdkNUfld3bpkpt" TargetMode="External"/><Relationship Id="rId793" Type="http://schemas.openxmlformats.org/officeDocument/2006/relationships/hyperlink" Target="https://talan.bank.gov.ua/get-user-certificate/J532525oMOwBCfOK7YvZ" TargetMode="External"/><Relationship Id="rId2267" Type="http://schemas.openxmlformats.org/officeDocument/2006/relationships/hyperlink" Target="https://talan.bank.gov.ua/get-user-certificate/J5325bt2HmQA_z2H5h-B" TargetMode="External"/><Relationship Id="rId2474" Type="http://schemas.openxmlformats.org/officeDocument/2006/relationships/hyperlink" Target="https://talan.bank.gov.ua/get-user-certificate/J5325C4vJLoe6vk6E8vh" TargetMode="External"/><Relationship Id="rId2681" Type="http://schemas.openxmlformats.org/officeDocument/2006/relationships/hyperlink" Target="https://talan.bank.gov.ua/get-user-certificate/J5325SQD3yS6c1gYmbCt" TargetMode="External"/><Relationship Id="rId3318" Type="http://schemas.openxmlformats.org/officeDocument/2006/relationships/hyperlink" Target="https://talan.bank.gov.ua/get-user-certificate/J5325NrHTDh-YZYU2Uxu" TargetMode="External"/><Relationship Id="rId3525" Type="http://schemas.openxmlformats.org/officeDocument/2006/relationships/hyperlink" Target="https://talan.bank.gov.ua/get-user-certificate/J5325yKBe7gSHOtaB6DV" TargetMode="External"/><Relationship Id="rId239" Type="http://schemas.openxmlformats.org/officeDocument/2006/relationships/hyperlink" Target="https://talan.bank.gov.ua/get-user-certificate/J5325BlToF7iG9VEkg0m" TargetMode="External"/><Relationship Id="rId446" Type="http://schemas.openxmlformats.org/officeDocument/2006/relationships/hyperlink" Target="https://talan.bank.gov.ua/get-user-certificate/J5325qx1qU9dpf6dIbO4" TargetMode="External"/><Relationship Id="rId653" Type="http://schemas.openxmlformats.org/officeDocument/2006/relationships/hyperlink" Target="https://talan.bank.gov.ua/get-user-certificate/J5325X0SZNx8U9gBhR7C" TargetMode="External"/><Relationship Id="rId1076" Type="http://schemas.openxmlformats.org/officeDocument/2006/relationships/hyperlink" Target="https://talan.bank.gov.ua/get-user-certificate/J5325moiaSF_jQYey92P" TargetMode="External"/><Relationship Id="rId1283" Type="http://schemas.openxmlformats.org/officeDocument/2006/relationships/hyperlink" Target="https://talan.bank.gov.ua/get-user-certificate/J5325XHCnDeWxujWTZNL" TargetMode="External"/><Relationship Id="rId1490" Type="http://schemas.openxmlformats.org/officeDocument/2006/relationships/hyperlink" Target="https://talan.bank.gov.ua/get-user-certificate/J5325iyeS1RQx5VZkcfk" TargetMode="External"/><Relationship Id="rId2127" Type="http://schemas.openxmlformats.org/officeDocument/2006/relationships/hyperlink" Target="https://talan.bank.gov.ua/get-user-certificate/J5325veVLds-VYvkRDZ6" TargetMode="External"/><Relationship Id="rId2334" Type="http://schemas.openxmlformats.org/officeDocument/2006/relationships/hyperlink" Target="https://talan.bank.gov.ua/get-user-certificate/J5325KDL2lH5a4EQ_7QT" TargetMode="External"/><Relationship Id="rId3732" Type="http://schemas.openxmlformats.org/officeDocument/2006/relationships/hyperlink" Target="https://talan.bank.gov.ua/get-user-certificate/J5325vxM89kq2Gw4QSri" TargetMode="External"/><Relationship Id="rId306" Type="http://schemas.openxmlformats.org/officeDocument/2006/relationships/hyperlink" Target="https://talan.bank.gov.ua/get-user-certificate/J53256WiLT4nAmMSFA6y" TargetMode="External"/><Relationship Id="rId860" Type="http://schemas.openxmlformats.org/officeDocument/2006/relationships/hyperlink" Target="https://talan.bank.gov.ua/get-user-certificate/J53253QOopWUGjOoXua0" TargetMode="External"/><Relationship Id="rId1143" Type="http://schemas.openxmlformats.org/officeDocument/2006/relationships/hyperlink" Target="https://talan.bank.gov.ua/get-user-certificate/J5325RQ5uuAqMHavBlg8" TargetMode="External"/><Relationship Id="rId2541" Type="http://schemas.openxmlformats.org/officeDocument/2006/relationships/hyperlink" Target="https://talan.bank.gov.ua/get-user-certificate/J5325rqetZen9yF95vfG" TargetMode="External"/><Relationship Id="rId513" Type="http://schemas.openxmlformats.org/officeDocument/2006/relationships/hyperlink" Target="https://talan.bank.gov.ua/get-user-certificate/J5325Hq2IDcAR2gknWa-" TargetMode="External"/><Relationship Id="rId720" Type="http://schemas.openxmlformats.org/officeDocument/2006/relationships/hyperlink" Target="https://talan.bank.gov.ua/get-user-certificate/J5325xhKIff5WwkzINAF" TargetMode="External"/><Relationship Id="rId1350" Type="http://schemas.openxmlformats.org/officeDocument/2006/relationships/hyperlink" Target="https://talan.bank.gov.ua/get-user-certificate/J5325RuNn2Pvf6kzxWMT" TargetMode="External"/><Relationship Id="rId2401" Type="http://schemas.openxmlformats.org/officeDocument/2006/relationships/hyperlink" Target="https://talan.bank.gov.ua/get-user-certificate/J53259SCeCZmmUNPHb-1" TargetMode="External"/><Relationship Id="rId4159" Type="http://schemas.openxmlformats.org/officeDocument/2006/relationships/hyperlink" Target="https://talan.bank.gov.ua/get-user-certificate/J5325ptHDP-fORS6Urtl" TargetMode="External"/><Relationship Id="rId1003" Type="http://schemas.openxmlformats.org/officeDocument/2006/relationships/hyperlink" Target="https://talan.bank.gov.ua/get-user-certificate/J53257hZOaQU995hO0OI" TargetMode="External"/><Relationship Id="rId1210" Type="http://schemas.openxmlformats.org/officeDocument/2006/relationships/hyperlink" Target="https://talan.bank.gov.ua/get-user-certificate/J5325dUCZ8LWfMd1v6mO" TargetMode="External"/><Relationship Id="rId3175" Type="http://schemas.openxmlformats.org/officeDocument/2006/relationships/hyperlink" Target="https://talan.bank.gov.ua/get-user-certificate/J5325_m7fn9N54JdmG5p" TargetMode="External"/><Relationship Id="rId3382" Type="http://schemas.openxmlformats.org/officeDocument/2006/relationships/hyperlink" Target="https://talan.bank.gov.ua/get-user-certificate/J532535qcxAqQnbXJltm" TargetMode="External"/><Relationship Id="rId4019" Type="http://schemas.openxmlformats.org/officeDocument/2006/relationships/hyperlink" Target="https://talan.bank.gov.ua/get-user-certificate/J5325M1GT--4jcTO8rNa" TargetMode="External"/><Relationship Id="rId4226" Type="http://schemas.openxmlformats.org/officeDocument/2006/relationships/hyperlink" Target="https://talan.bank.gov.ua/get-user-certificate/CYWPHtT04Hx_lFdXY8lG" TargetMode="External"/><Relationship Id="rId2191" Type="http://schemas.openxmlformats.org/officeDocument/2006/relationships/hyperlink" Target="https://talan.bank.gov.ua/get-user-certificate/J5325MTqFTGsRE3i19x6" TargetMode="External"/><Relationship Id="rId3035" Type="http://schemas.openxmlformats.org/officeDocument/2006/relationships/hyperlink" Target="https://talan.bank.gov.ua/get-user-certificate/J53255LYcTozOTcJcQa_" TargetMode="External"/><Relationship Id="rId3242" Type="http://schemas.openxmlformats.org/officeDocument/2006/relationships/hyperlink" Target="https://talan.bank.gov.ua/get-user-certificate/J5325xH5uT-K3lUqImlb" TargetMode="External"/><Relationship Id="rId163" Type="http://schemas.openxmlformats.org/officeDocument/2006/relationships/hyperlink" Target="https://talan.bank.gov.ua/get-user-certificate/J53252hzLnOKHG__FpMa" TargetMode="External"/><Relationship Id="rId370" Type="http://schemas.openxmlformats.org/officeDocument/2006/relationships/hyperlink" Target="https://talan.bank.gov.ua/get-user-certificate/J5325yDjmvNba6f6TfEB" TargetMode="External"/><Relationship Id="rId2051" Type="http://schemas.openxmlformats.org/officeDocument/2006/relationships/hyperlink" Target="https://talan.bank.gov.ua/get-user-certificate/J5325NZ6Zhve9h7weadD" TargetMode="External"/><Relationship Id="rId3102" Type="http://schemas.openxmlformats.org/officeDocument/2006/relationships/hyperlink" Target="https://talan.bank.gov.ua/get-user-certificate/J5325Qvv2oIJxDZc-w2B" TargetMode="External"/><Relationship Id="rId230" Type="http://schemas.openxmlformats.org/officeDocument/2006/relationships/hyperlink" Target="https://talan.bank.gov.ua/get-user-certificate/J5325hLFK5w_2Z55aETA" TargetMode="External"/><Relationship Id="rId2868" Type="http://schemas.openxmlformats.org/officeDocument/2006/relationships/hyperlink" Target="https://talan.bank.gov.ua/get-user-certificate/J53255oDJmvCFo_wEW3F" TargetMode="External"/><Relationship Id="rId3919" Type="http://schemas.openxmlformats.org/officeDocument/2006/relationships/hyperlink" Target="https://talan.bank.gov.ua/get-user-certificate/J5325S6YO8DrJ4oiJxAN" TargetMode="External"/><Relationship Id="rId4083" Type="http://schemas.openxmlformats.org/officeDocument/2006/relationships/hyperlink" Target="https://talan.bank.gov.ua/get-user-certificate/J5325RN86NF5MBriNj5a" TargetMode="External"/><Relationship Id="rId1677" Type="http://schemas.openxmlformats.org/officeDocument/2006/relationships/hyperlink" Target="https://talan.bank.gov.ua/get-user-certificate/J5325Uih0AE3R1ZpF3hj" TargetMode="External"/><Relationship Id="rId1884" Type="http://schemas.openxmlformats.org/officeDocument/2006/relationships/hyperlink" Target="https://talan.bank.gov.ua/get-user-certificate/J5325PxabXqnBN1oqju1" TargetMode="External"/><Relationship Id="rId2728" Type="http://schemas.openxmlformats.org/officeDocument/2006/relationships/hyperlink" Target="https://talan.bank.gov.ua/get-user-certificate/J5325LuRQqbRGIZGpiIW" TargetMode="External"/><Relationship Id="rId2935" Type="http://schemas.openxmlformats.org/officeDocument/2006/relationships/hyperlink" Target="https://talan.bank.gov.ua/get-user-certificate/J53253oohu2mDLfbsNNl" TargetMode="External"/><Relationship Id="rId907" Type="http://schemas.openxmlformats.org/officeDocument/2006/relationships/hyperlink" Target="https://talan.bank.gov.ua/get-user-certificate/J5325Gz8T5A1Ad2r9pnj" TargetMode="External"/><Relationship Id="rId1537" Type="http://schemas.openxmlformats.org/officeDocument/2006/relationships/hyperlink" Target="https://talan.bank.gov.ua/get-user-certificate/J5325NQMzWN2vjd0K9Cl" TargetMode="External"/><Relationship Id="rId1744" Type="http://schemas.openxmlformats.org/officeDocument/2006/relationships/hyperlink" Target="https://talan.bank.gov.ua/get-user-certificate/J5325Z5joTZOjvZcdFKr" TargetMode="External"/><Relationship Id="rId1951" Type="http://schemas.openxmlformats.org/officeDocument/2006/relationships/hyperlink" Target="https://talan.bank.gov.ua/get-user-certificate/J53257twEGx1f17FkFdW" TargetMode="External"/><Relationship Id="rId4150" Type="http://schemas.openxmlformats.org/officeDocument/2006/relationships/hyperlink" Target="https://talan.bank.gov.ua/get-user-certificate/J5325mTn3dfPzSIVNuIJ" TargetMode="External"/><Relationship Id="rId36" Type="http://schemas.openxmlformats.org/officeDocument/2006/relationships/hyperlink" Target="https://talan.bank.gov.ua/get-user-certificate/J5325veGapNOP5qr-VoB" TargetMode="External"/><Relationship Id="rId1604" Type="http://schemas.openxmlformats.org/officeDocument/2006/relationships/hyperlink" Target="https://talan.bank.gov.ua/get-user-certificate/J5325iadTvi79Pn8Jh1G" TargetMode="External"/><Relationship Id="rId4010" Type="http://schemas.openxmlformats.org/officeDocument/2006/relationships/hyperlink" Target="https://talan.bank.gov.ua/get-user-certificate/J53256tFm4Cjomle1-Ui" TargetMode="External"/><Relationship Id="rId1811" Type="http://schemas.openxmlformats.org/officeDocument/2006/relationships/hyperlink" Target="https://talan.bank.gov.ua/get-user-certificate/J5325J-7pmG4XJHKimy9" TargetMode="External"/><Relationship Id="rId3569" Type="http://schemas.openxmlformats.org/officeDocument/2006/relationships/hyperlink" Target="https://talan.bank.gov.ua/get-user-certificate/J53256BDeKYTdz9PD7E1" TargetMode="External"/><Relationship Id="rId697" Type="http://schemas.openxmlformats.org/officeDocument/2006/relationships/hyperlink" Target="https://talan.bank.gov.ua/get-user-certificate/J5325li9nrSfLtuO7BrO" TargetMode="External"/><Relationship Id="rId2378" Type="http://schemas.openxmlformats.org/officeDocument/2006/relationships/hyperlink" Target="https://talan.bank.gov.ua/get-user-certificate/J5325TBadoUJ2ritE5I-" TargetMode="External"/><Relationship Id="rId3429" Type="http://schemas.openxmlformats.org/officeDocument/2006/relationships/hyperlink" Target="https://talan.bank.gov.ua/get-user-certificate/J5325Oiju3KM6ha8Sj_t" TargetMode="External"/><Relationship Id="rId3776" Type="http://schemas.openxmlformats.org/officeDocument/2006/relationships/hyperlink" Target="https://talan.bank.gov.ua/get-user-certificate/J53256up7w7fGozSZ2lw" TargetMode="External"/><Relationship Id="rId3983" Type="http://schemas.openxmlformats.org/officeDocument/2006/relationships/hyperlink" Target="https://talan.bank.gov.ua/get-user-certificate/J5325VfVpuW3ne-bVgpF" TargetMode="External"/><Relationship Id="rId1187" Type="http://schemas.openxmlformats.org/officeDocument/2006/relationships/hyperlink" Target="https://talan.bank.gov.ua/get-user-certificate/J5325X7_Xl2Z2iXO0MnS" TargetMode="External"/><Relationship Id="rId2585" Type="http://schemas.openxmlformats.org/officeDocument/2006/relationships/hyperlink" Target="https://talan.bank.gov.ua/get-user-certificate/J5325zh09fLWalm6TNpK" TargetMode="External"/><Relationship Id="rId2792" Type="http://schemas.openxmlformats.org/officeDocument/2006/relationships/hyperlink" Target="https://talan.bank.gov.ua/get-user-certificate/J5325-bP1xZnAh8-e6eP" TargetMode="External"/><Relationship Id="rId3636" Type="http://schemas.openxmlformats.org/officeDocument/2006/relationships/hyperlink" Target="https://talan.bank.gov.ua/get-user-certificate/J5325VxbWN5h35m7PHki" TargetMode="External"/><Relationship Id="rId3843" Type="http://schemas.openxmlformats.org/officeDocument/2006/relationships/hyperlink" Target="https://talan.bank.gov.ua/get-user-certificate/J5325tE4KYnuywL7hsx8" TargetMode="External"/><Relationship Id="rId557" Type="http://schemas.openxmlformats.org/officeDocument/2006/relationships/hyperlink" Target="https://talan.bank.gov.ua/get-user-certificate/J5325k3YD07ZgG27oxVt" TargetMode="External"/><Relationship Id="rId764" Type="http://schemas.openxmlformats.org/officeDocument/2006/relationships/hyperlink" Target="https://talan.bank.gov.ua/get-user-certificate/J5325pwZbU6GXBPoSYW7" TargetMode="External"/><Relationship Id="rId971" Type="http://schemas.openxmlformats.org/officeDocument/2006/relationships/hyperlink" Target="https://talan.bank.gov.ua/get-user-certificate/J5325H4Vf-yJ97P9i1L9" TargetMode="External"/><Relationship Id="rId1394" Type="http://schemas.openxmlformats.org/officeDocument/2006/relationships/hyperlink" Target="https://talan.bank.gov.ua/get-user-certificate/J5325q8FcuyxNhdcgccD" TargetMode="External"/><Relationship Id="rId2238" Type="http://schemas.openxmlformats.org/officeDocument/2006/relationships/hyperlink" Target="https://talan.bank.gov.ua/get-user-certificate/J5325gS_I7hax3sS9sED" TargetMode="External"/><Relationship Id="rId2445" Type="http://schemas.openxmlformats.org/officeDocument/2006/relationships/hyperlink" Target="https://talan.bank.gov.ua/get-user-certificate/J5325nxuR73rhjnrCrBb" TargetMode="External"/><Relationship Id="rId2652" Type="http://schemas.openxmlformats.org/officeDocument/2006/relationships/hyperlink" Target="https://talan.bank.gov.ua/get-user-certificate/J5325Brti9Uy1JElC4CN" TargetMode="External"/><Relationship Id="rId3703" Type="http://schemas.openxmlformats.org/officeDocument/2006/relationships/hyperlink" Target="https://talan.bank.gov.ua/get-user-certificate/J53258VTAj46vaLgOeFX" TargetMode="External"/><Relationship Id="rId3910" Type="http://schemas.openxmlformats.org/officeDocument/2006/relationships/hyperlink" Target="https://talan.bank.gov.ua/get-user-certificate/J5325eN3ZzFjCqB2eiAu" TargetMode="External"/><Relationship Id="rId417" Type="http://schemas.openxmlformats.org/officeDocument/2006/relationships/hyperlink" Target="https://talan.bank.gov.ua/get-user-certificate/J5325kWl7-FfgsxCDizV" TargetMode="External"/><Relationship Id="rId624" Type="http://schemas.openxmlformats.org/officeDocument/2006/relationships/hyperlink" Target="https://talan.bank.gov.ua/get-user-certificate/J5325jFfe0Y8UW3CqeNW" TargetMode="External"/><Relationship Id="rId831" Type="http://schemas.openxmlformats.org/officeDocument/2006/relationships/hyperlink" Target="https://talan.bank.gov.ua/get-user-certificate/J53254ZVjDMaH2eMKl8U" TargetMode="External"/><Relationship Id="rId1047" Type="http://schemas.openxmlformats.org/officeDocument/2006/relationships/hyperlink" Target="https://talan.bank.gov.ua/get-user-certificate/J5325TBjXtf2ad2x1jkE" TargetMode="External"/><Relationship Id="rId1254" Type="http://schemas.openxmlformats.org/officeDocument/2006/relationships/hyperlink" Target="https://talan.bank.gov.ua/get-user-certificate/J53253YwGfUOwUNpXkwK" TargetMode="External"/><Relationship Id="rId1461" Type="http://schemas.openxmlformats.org/officeDocument/2006/relationships/hyperlink" Target="https://talan.bank.gov.ua/get-user-certificate/J53252PknzARknNpiisB" TargetMode="External"/><Relationship Id="rId2305" Type="http://schemas.openxmlformats.org/officeDocument/2006/relationships/hyperlink" Target="https://talan.bank.gov.ua/get-user-certificate/J5325J-qprNS_XGKOa6q" TargetMode="External"/><Relationship Id="rId2512" Type="http://schemas.openxmlformats.org/officeDocument/2006/relationships/hyperlink" Target="https://talan.bank.gov.ua/get-user-certificate/J53254LvyGINaG8-XWVx" TargetMode="External"/><Relationship Id="rId1114" Type="http://schemas.openxmlformats.org/officeDocument/2006/relationships/hyperlink" Target="https://talan.bank.gov.ua/get-user-certificate/J53255xFuE2hpPJjUJhe" TargetMode="External"/><Relationship Id="rId1321" Type="http://schemas.openxmlformats.org/officeDocument/2006/relationships/hyperlink" Target="https://talan.bank.gov.ua/get-user-certificate/J53250PzHMuboHKFbE1h" TargetMode="External"/><Relationship Id="rId3079" Type="http://schemas.openxmlformats.org/officeDocument/2006/relationships/hyperlink" Target="https://talan.bank.gov.ua/get-user-certificate/J5325QAsUaETiLHCdOmg" TargetMode="External"/><Relationship Id="rId3286" Type="http://schemas.openxmlformats.org/officeDocument/2006/relationships/hyperlink" Target="https://talan.bank.gov.ua/get-user-certificate/J53250u-0lslLQwtArGh" TargetMode="External"/><Relationship Id="rId3493" Type="http://schemas.openxmlformats.org/officeDocument/2006/relationships/hyperlink" Target="https://talan.bank.gov.ua/get-user-certificate/J5325JoR40J-kLW-FlTP" TargetMode="External"/><Relationship Id="rId2095" Type="http://schemas.openxmlformats.org/officeDocument/2006/relationships/hyperlink" Target="https://talan.bank.gov.ua/get-user-certificate/J5325A50eI_N7NDW8zOE" TargetMode="External"/><Relationship Id="rId3146" Type="http://schemas.openxmlformats.org/officeDocument/2006/relationships/hyperlink" Target="https://talan.bank.gov.ua/get-user-certificate/J5325HReWSh9GUKDvqmE" TargetMode="External"/><Relationship Id="rId3353" Type="http://schemas.openxmlformats.org/officeDocument/2006/relationships/hyperlink" Target="https://talan.bank.gov.ua/get-user-certificate/J5325S5-MfZK3AOM44T2" TargetMode="External"/><Relationship Id="rId274" Type="http://schemas.openxmlformats.org/officeDocument/2006/relationships/hyperlink" Target="https://talan.bank.gov.ua/get-user-certificate/J5325ctTBhALlI1mn_28" TargetMode="External"/><Relationship Id="rId481" Type="http://schemas.openxmlformats.org/officeDocument/2006/relationships/hyperlink" Target="https://talan.bank.gov.ua/get-user-certificate/J5325i7uY08ub7cJYSRb" TargetMode="External"/><Relationship Id="rId2162" Type="http://schemas.openxmlformats.org/officeDocument/2006/relationships/hyperlink" Target="https://talan.bank.gov.ua/get-user-certificate/J5325xzXzLlSBmY5Bbpa" TargetMode="External"/><Relationship Id="rId3006" Type="http://schemas.openxmlformats.org/officeDocument/2006/relationships/hyperlink" Target="https://talan.bank.gov.ua/get-user-certificate/J5325_CrJMYggKW9U4Cq" TargetMode="External"/><Relationship Id="rId3560" Type="http://schemas.openxmlformats.org/officeDocument/2006/relationships/hyperlink" Target="https://talan.bank.gov.ua/get-user-certificate/J5325S4bXGmMZ1UR1tW-" TargetMode="External"/><Relationship Id="rId134" Type="http://schemas.openxmlformats.org/officeDocument/2006/relationships/hyperlink" Target="https://talan.bank.gov.ua/get-user-certificate/J5325cDmyJW_PgrRrFZq" TargetMode="External"/><Relationship Id="rId3213" Type="http://schemas.openxmlformats.org/officeDocument/2006/relationships/hyperlink" Target="https://talan.bank.gov.ua/get-user-certificate/J53250hOoyhz_FeM189k" TargetMode="External"/><Relationship Id="rId3420" Type="http://schemas.openxmlformats.org/officeDocument/2006/relationships/hyperlink" Target="https://talan.bank.gov.ua/get-user-certificate/J5325TJR9RcaGxxF7eF4" TargetMode="External"/><Relationship Id="rId341" Type="http://schemas.openxmlformats.org/officeDocument/2006/relationships/hyperlink" Target="https://talan.bank.gov.ua/get-user-certificate/J5325jKfJC_8UeqeOW-9" TargetMode="External"/><Relationship Id="rId2022" Type="http://schemas.openxmlformats.org/officeDocument/2006/relationships/hyperlink" Target="https://talan.bank.gov.ua/get-user-certificate/J5325MlFCo32LKtNZXKZ" TargetMode="External"/><Relationship Id="rId2979" Type="http://schemas.openxmlformats.org/officeDocument/2006/relationships/hyperlink" Target="https://talan.bank.gov.ua/get-user-certificate/J5325D406kzjn7NFbb3k" TargetMode="External"/><Relationship Id="rId201" Type="http://schemas.openxmlformats.org/officeDocument/2006/relationships/hyperlink" Target="https://talan.bank.gov.ua/get-user-certificate/J5325qci2Jfe0DiZ_jaO" TargetMode="External"/><Relationship Id="rId1788" Type="http://schemas.openxmlformats.org/officeDocument/2006/relationships/hyperlink" Target="https://talan.bank.gov.ua/get-user-certificate/J5325kbl1HpRcofdIu1_" TargetMode="External"/><Relationship Id="rId1995" Type="http://schemas.openxmlformats.org/officeDocument/2006/relationships/hyperlink" Target="https://talan.bank.gov.ua/get-user-certificate/J5325nNpPx1_zsVj_Nu2" TargetMode="External"/><Relationship Id="rId2839" Type="http://schemas.openxmlformats.org/officeDocument/2006/relationships/hyperlink" Target="https://talan.bank.gov.ua/get-user-certificate/J5325AWG1vVzjRo6vuG7" TargetMode="External"/><Relationship Id="rId4194" Type="http://schemas.openxmlformats.org/officeDocument/2006/relationships/hyperlink" Target="https://talan.bank.gov.ua/get-user-certificate/TbxZWdC3hNl9THKI_Lj6" TargetMode="External"/><Relationship Id="rId1648" Type="http://schemas.openxmlformats.org/officeDocument/2006/relationships/hyperlink" Target="https://talan.bank.gov.ua/get-user-certificate/J53254vv2NKGPuNxo4PB" TargetMode="External"/><Relationship Id="rId4054" Type="http://schemas.openxmlformats.org/officeDocument/2006/relationships/hyperlink" Target="https://talan.bank.gov.ua/get-user-certificate/J5325cIzSRRPKIm6uNrI" TargetMode="External"/><Relationship Id="rId4261" Type="http://schemas.openxmlformats.org/officeDocument/2006/relationships/printerSettings" Target="../printerSettings/printerSettings1.bin"/><Relationship Id="rId1508" Type="http://schemas.openxmlformats.org/officeDocument/2006/relationships/hyperlink" Target="https://talan.bank.gov.ua/get-user-certificate/J5325NOArtO7nOelx01C" TargetMode="External"/><Relationship Id="rId1855" Type="http://schemas.openxmlformats.org/officeDocument/2006/relationships/hyperlink" Target="https://talan.bank.gov.ua/get-user-certificate/J5325rJCRTbVYUiMC3sX" TargetMode="External"/><Relationship Id="rId2906" Type="http://schemas.openxmlformats.org/officeDocument/2006/relationships/hyperlink" Target="https://talan.bank.gov.ua/get-user-certificate/J53253xgH2gK4dAXW52m" TargetMode="External"/><Relationship Id="rId3070" Type="http://schemas.openxmlformats.org/officeDocument/2006/relationships/hyperlink" Target="https://talan.bank.gov.ua/get-user-certificate/J5325j80gCvIsMeeipMj" TargetMode="External"/><Relationship Id="rId4121" Type="http://schemas.openxmlformats.org/officeDocument/2006/relationships/hyperlink" Target="https://talan.bank.gov.ua/get-user-certificate/J5325OibBu1FJdR8e65y" TargetMode="External"/><Relationship Id="rId1715" Type="http://schemas.openxmlformats.org/officeDocument/2006/relationships/hyperlink" Target="https://talan.bank.gov.ua/get-user-certificate/J5325yeALA7bwHkXz9d4" TargetMode="External"/><Relationship Id="rId1922" Type="http://schemas.openxmlformats.org/officeDocument/2006/relationships/hyperlink" Target="https://talan.bank.gov.ua/get-user-certificate/J5325ZRbCHyWtBGdUqAM" TargetMode="External"/><Relationship Id="rId3887" Type="http://schemas.openxmlformats.org/officeDocument/2006/relationships/hyperlink" Target="https://talan.bank.gov.ua/get-user-certificate/J5325H9y6FTp3ngMvcT6" TargetMode="External"/><Relationship Id="rId2489" Type="http://schemas.openxmlformats.org/officeDocument/2006/relationships/hyperlink" Target="https://talan.bank.gov.ua/get-user-certificate/J5325Wi5Vu31SQba3uFt" TargetMode="External"/><Relationship Id="rId2696" Type="http://schemas.openxmlformats.org/officeDocument/2006/relationships/hyperlink" Target="https://talan.bank.gov.ua/get-user-certificate/J5325hvQ-FSH1VVICQMY" TargetMode="External"/><Relationship Id="rId3747" Type="http://schemas.openxmlformats.org/officeDocument/2006/relationships/hyperlink" Target="https://talan.bank.gov.ua/get-user-certificate/J5325TEsN1q9GfTkUSkh" TargetMode="External"/><Relationship Id="rId3954" Type="http://schemas.openxmlformats.org/officeDocument/2006/relationships/hyperlink" Target="https://talan.bank.gov.ua/get-user-certificate/J5325xhfmfzChIxtZ7XX" TargetMode="External"/><Relationship Id="rId668" Type="http://schemas.openxmlformats.org/officeDocument/2006/relationships/hyperlink" Target="https://talan.bank.gov.ua/get-user-certificate/J53252YaLzeJCXkosd_z" TargetMode="External"/><Relationship Id="rId875" Type="http://schemas.openxmlformats.org/officeDocument/2006/relationships/hyperlink" Target="https://talan.bank.gov.ua/get-user-certificate/J5325fBBZY3e0ebfrJGN" TargetMode="External"/><Relationship Id="rId1298" Type="http://schemas.openxmlformats.org/officeDocument/2006/relationships/hyperlink" Target="https://talan.bank.gov.ua/get-user-certificate/J5325sqxZMrYIIHAvMA7" TargetMode="External"/><Relationship Id="rId2349" Type="http://schemas.openxmlformats.org/officeDocument/2006/relationships/hyperlink" Target="https://talan.bank.gov.ua/get-user-certificate/J5325NN2NYLIC612Z0p0" TargetMode="External"/><Relationship Id="rId2556" Type="http://schemas.openxmlformats.org/officeDocument/2006/relationships/hyperlink" Target="https://talan.bank.gov.ua/get-user-certificate/J5325-rakTYxBITur8QD" TargetMode="External"/><Relationship Id="rId2763" Type="http://schemas.openxmlformats.org/officeDocument/2006/relationships/hyperlink" Target="https://talan.bank.gov.ua/get-user-certificate/J5325ArWrrqjX7Z90UeE" TargetMode="External"/><Relationship Id="rId2970" Type="http://schemas.openxmlformats.org/officeDocument/2006/relationships/hyperlink" Target="https://talan.bank.gov.ua/get-user-certificate/J5325oGeFBmcSQM9btAM" TargetMode="External"/><Relationship Id="rId3607" Type="http://schemas.openxmlformats.org/officeDocument/2006/relationships/hyperlink" Target="https://talan.bank.gov.ua/get-user-certificate/J5325fPdi6sDhAWRvfZC" TargetMode="External"/><Relationship Id="rId3814" Type="http://schemas.openxmlformats.org/officeDocument/2006/relationships/hyperlink" Target="https://talan.bank.gov.ua/get-user-certificate/J5325mrOlF27GOj2iQgx" TargetMode="External"/><Relationship Id="rId528" Type="http://schemas.openxmlformats.org/officeDocument/2006/relationships/hyperlink" Target="https://talan.bank.gov.ua/get-user-certificate/J5325SrEzxRE8f147WQ0" TargetMode="External"/><Relationship Id="rId735" Type="http://schemas.openxmlformats.org/officeDocument/2006/relationships/hyperlink" Target="https://talan.bank.gov.ua/get-user-certificate/J5325brGnaaxBBBj6w7s" TargetMode="External"/><Relationship Id="rId942" Type="http://schemas.openxmlformats.org/officeDocument/2006/relationships/hyperlink" Target="https://talan.bank.gov.ua/get-user-certificate/J5325fwjkpqq4NH4tNC5" TargetMode="External"/><Relationship Id="rId1158" Type="http://schemas.openxmlformats.org/officeDocument/2006/relationships/hyperlink" Target="https://talan.bank.gov.ua/get-user-certificate/J5325ulhqgdPoZp002KD" TargetMode="External"/><Relationship Id="rId1365" Type="http://schemas.openxmlformats.org/officeDocument/2006/relationships/hyperlink" Target="https://talan.bank.gov.ua/get-user-certificate/J5325aPTsOzJuHWvA7AM" TargetMode="External"/><Relationship Id="rId1572" Type="http://schemas.openxmlformats.org/officeDocument/2006/relationships/hyperlink" Target="https://talan.bank.gov.ua/get-user-certificate/J5325Fi84X4qqH-dyYUB" TargetMode="External"/><Relationship Id="rId2209" Type="http://schemas.openxmlformats.org/officeDocument/2006/relationships/hyperlink" Target="https://talan.bank.gov.ua/get-user-certificate/J5325_8Gp_MqPmiBQsh6" TargetMode="External"/><Relationship Id="rId2416" Type="http://schemas.openxmlformats.org/officeDocument/2006/relationships/hyperlink" Target="https://talan.bank.gov.ua/get-user-certificate/J5325ErIoM3Li6fyeWrR" TargetMode="External"/><Relationship Id="rId2623" Type="http://schemas.openxmlformats.org/officeDocument/2006/relationships/hyperlink" Target="https://talan.bank.gov.ua/get-user-certificate/J5325VA9L5KNWx63OVey" TargetMode="External"/><Relationship Id="rId1018" Type="http://schemas.openxmlformats.org/officeDocument/2006/relationships/hyperlink" Target="https://talan.bank.gov.ua/get-user-certificate/J5325yZqVT_mvNeoBVF4" TargetMode="External"/><Relationship Id="rId1225" Type="http://schemas.openxmlformats.org/officeDocument/2006/relationships/hyperlink" Target="https://talan.bank.gov.ua/get-user-certificate/J5325Jm1x5-eWfBEftlU" TargetMode="External"/><Relationship Id="rId1432" Type="http://schemas.openxmlformats.org/officeDocument/2006/relationships/hyperlink" Target="https://talan.bank.gov.ua/get-user-certificate/J5325lMgN1n7OoezFsTL" TargetMode="External"/><Relationship Id="rId2830" Type="http://schemas.openxmlformats.org/officeDocument/2006/relationships/hyperlink" Target="https://talan.bank.gov.ua/get-user-certificate/J5325pq3MSWwZIzqRcT0" TargetMode="External"/><Relationship Id="rId71" Type="http://schemas.openxmlformats.org/officeDocument/2006/relationships/hyperlink" Target="https://talan.bank.gov.ua/get-user-certificate/J5325jC0bKeCeSdusVZb" TargetMode="External"/><Relationship Id="rId802" Type="http://schemas.openxmlformats.org/officeDocument/2006/relationships/hyperlink" Target="https://talan.bank.gov.ua/get-user-certificate/J5325mZsf6gPSBaUFcXy" TargetMode="External"/><Relationship Id="rId3397" Type="http://schemas.openxmlformats.org/officeDocument/2006/relationships/hyperlink" Target="https://talan.bank.gov.ua/get-user-certificate/J5325nS6RhozXzddpC-8" TargetMode="External"/><Relationship Id="rId178" Type="http://schemas.openxmlformats.org/officeDocument/2006/relationships/hyperlink" Target="https://talan.bank.gov.ua/get-user-certificate/J5325iZbO8IfsmrHB159" TargetMode="External"/><Relationship Id="rId3257" Type="http://schemas.openxmlformats.org/officeDocument/2006/relationships/hyperlink" Target="https://talan.bank.gov.ua/get-user-certificate/J5325pGcif-5HR51RP4U" TargetMode="External"/><Relationship Id="rId3464" Type="http://schemas.openxmlformats.org/officeDocument/2006/relationships/hyperlink" Target="https://talan.bank.gov.ua/get-user-certificate/J5325RPadB2TdxeHcyhL" TargetMode="External"/><Relationship Id="rId3671" Type="http://schemas.openxmlformats.org/officeDocument/2006/relationships/hyperlink" Target="https://talan.bank.gov.ua/get-user-certificate/J5325STuQzflDf_PMDLw" TargetMode="External"/><Relationship Id="rId385" Type="http://schemas.openxmlformats.org/officeDocument/2006/relationships/hyperlink" Target="https://talan.bank.gov.ua/get-user-certificate/J5325lAJXxjzkPzGtL3l" TargetMode="External"/><Relationship Id="rId592" Type="http://schemas.openxmlformats.org/officeDocument/2006/relationships/hyperlink" Target="https://talan.bank.gov.ua/get-user-certificate/J5325Vl_MoCkTd0ic1ko" TargetMode="External"/><Relationship Id="rId2066" Type="http://schemas.openxmlformats.org/officeDocument/2006/relationships/hyperlink" Target="https://talan.bank.gov.ua/get-user-certificate/J5325KzmKCRWOaRI7wLI" TargetMode="External"/><Relationship Id="rId2273" Type="http://schemas.openxmlformats.org/officeDocument/2006/relationships/hyperlink" Target="https://talan.bank.gov.ua/get-user-certificate/J5325DgH_fwPTiLfh_S0" TargetMode="External"/><Relationship Id="rId2480" Type="http://schemas.openxmlformats.org/officeDocument/2006/relationships/hyperlink" Target="https://talan.bank.gov.ua/get-user-certificate/J5325ucF0mpix9GTLrR_" TargetMode="External"/><Relationship Id="rId3117" Type="http://schemas.openxmlformats.org/officeDocument/2006/relationships/hyperlink" Target="https://talan.bank.gov.ua/get-user-certificate/J5325aDptUOuUxHxe9c_" TargetMode="External"/><Relationship Id="rId3324" Type="http://schemas.openxmlformats.org/officeDocument/2006/relationships/hyperlink" Target="https://talan.bank.gov.ua/get-user-certificate/J5325MwpIFxLq6mTJs92" TargetMode="External"/><Relationship Id="rId3531" Type="http://schemas.openxmlformats.org/officeDocument/2006/relationships/hyperlink" Target="https://talan.bank.gov.ua/get-user-certificate/J5325HOVQNr7s76FZXkK" TargetMode="External"/><Relationship Id="rId245" Type="http://schemas.openxmlformats.org/officeDocument/2006/relationships/hyperlink" Target="https://talan.bank.gov.ua/get-user-certificate/J53252kogelnWgu1YwES" TargetMode="External"/><Relationship Id="rId452" Type="http://schemas.openxmlformats.org/officeDocument/2006/relationships/hyperlink" Target="https://talan.bank.gov.ua/get-user-certificate/J5325xTquZPJPJQxBbRY" TargetMode="External"/><Relationship Id="rId1082" Type="http://schemas.openxmlformats.org/officeDocument/2006/relationships/hyperlink" Target="https://talan.bank.gov.ua/get-user-certificate/J5325BtNd0nGNYPssxrO" TargetMode="External"/><Relationship Id="rId2133" Type="http://schemas.openxmlformats.org/officeDocument/2006/relationships/hyperlink" Target="https://talan.bank.gov.ua/get-user-certificate/J5325p_D_dz-kUdoY-pY" TargetMode="External"/><Relationship Id="rId2340" Type="http://schemas.openxmlformats.org/officeDocument/2006/relationships/hyperlink" Target="https://talan.bank.gov.ua/get-user-certificate/J5325GCKgloGSRcgi-bA" TargetMode="External"/><Relationship Id="rId105" Type="http://schemas.openxmlformats.org/officeDocument/2006/relationships/hyperlink" Target="https://talan.bank.gov.ua/get-user-certificate/J5325Ne-DmtEFxF0dJjK" TargetMode="External"/><Relationship Id="rId312" Type="http://schemas.openxmlformats.org/officeDocument/2006/relationships/hyperlink" Target="https://talan.bank.gov.ua/get-user-certificate/J5325AYrEGF1SPuDcRVg" TargetMode="External"/><Relationship Id="rId2200" Type="http://schemas.openxmlformats.org/officeDocument/2006/relationships/hyperlink" Target="https://talan.bank.gov.ua/get-user-certificate/J53257NISWUGuGqjWAJO" TargetMode="External"/><Relationship Id="rId4098" Type="http://schemas.openxmlformats.org/officeDocument/2006/relationships/hyperlink" Target="https://talan.bank.gov.ua/get-user-certificate/J53254WttLZDnklm9Cka" TargetMode="External"/><Relationship Id="rId1899" Type="http://schemas.openxmlformats.org/officeDocument/2006/relationships/hyperlink" Target="https://talan.bank.gov.ua/get-user-certificate/J5325QUGN90eN3W6CxXE" TargetMode="External"/><Relationship Id="rId4165" Type="http://schemas.openxmlformats.org/officeDocument/2006/relationships/hyperlink" Target="https://talan.bank.gov.ua/get-user-certificate/J5325uxeAsaCTFtYty47" TargetMode="External"/><Relationship Id="rId1759" Type="http://schemas.openxmlformats.org/officeDocument/2006/relationships/hyperlink" Target="https://talan.bank.gov.ua/get-user-certificate/J5325QFvmPv-PGppYxih" TargetMode="External"/><Relationship Id="rId1966" Type="http://schemas.openxmlformats.org/officeDocument/2006/relationships/hyperlink" Target="https://talan.bank.gov.ua/get-user-certificate/J5325BHWt_OSR6AIvgRQ" TargetMode="External"/><Relationship Id="rId3181" Type="http://schemas.openxmlformats.org/officeDocument/2006/relationships/hyperlink" Target="https://talan.bank.gov.ua/get-user-certificate/J5325PUOFXcAiyA0X3Oa" TargetMode="External"/><Relationship Id="rId4025" Type="http://schemas.openxmlformats.org/officeDocument/2006/relationships/hyperlink" Target="https://talan.bank.gov.ua/get-user-certificate/J5325aFPPNKX9x66K3i0" TargetMode="External"/><Relationship Id="rId1619" Type="http://schemas.openxmlformats.org/officeDocument/2006/relationships/hyperlink" Target="https://talan.bank.gov.ua/get-user-certificate/J53254Jinl8B3oViGn9F" TargetMode="External"/><Relationship Id="rId1826" Type="http://schemas.openxmlformats.org/officeDocument/2006/relationships/hyperlink" Target="https://talan.bank.gov.ua/get-user-certificate/J5325WwJUDtMYKZut_R-" TargetMode="External"/><Relationship Id="rId4232" Type="http://schemas.openxmlformats.org/officeDocument/2006/relationships/hyperlink" Target="https://talan.bank.gov.ua/get-user-certificate/CYWPHYrV66nPwg-AiPPm" TargetMode="External"/><Relationship Id="rId3041" Type="http://schemas.openxmlformats.org/officeDocument/2006/relationships/hyperlink" Target="https://talan.bank.gov.ua/get-user-certificate/J5325iNjxFYAKRsjQBqi" TargetMode="External"/><Relationship Id="rId3998" Type="http://schemas.openxmlformats.org/officeDocument/2006/relationships/hyperlink" Target="https://talan.bank.gov.ua/get-user-certificate/J5325HeyzwnVoNzZbqxX" TargetMode="External"/><Relationship Id="rId3858" Type="http://schemas.openxmlformats.org/officeDocument/2006/relationships/hyperlink" Target="https://talan.bank.gov.ua/get-user-certificate/J53255TlRePQ942tKKiC" TargetMode="External"/><Relationship Id="rId779" Type="http://schemas.openxmlformats.org/officeDocument/2006/relationships/hyperlink" Target="https://talan.bank.gov.ua/get-user-certificate/J5325c4X2jRR2mp2Mnwt" TargetMode="External"/><Relationship Id="rId986" Type="http://schemas.openxmlformats.org/officeDocument/2006/relationships/hyperlink" Target="https://talan.bank.gov.ua/get-user-certificate/J5325zTwalIj8-G7ZoD7" TargetMode="External"/><Relationship Id="rId2667" Type="http://schemas.openxmlformats.org/officeDocument/2006/relationships/hyperlink" Target="https://talan.bank.gov.ua/get-user-certificate/J5325-Ck6yG7OBTomZnU" TargetMode="External"/><Relationship Id="rId3718" Type="http://schemas.openxmlformats.org/officeDocument/2006/relationships/hyperlink" Target="https://talan.bank.gov.ua/get-user-certificate/J5325qx_cUjmmoaABBB5" TargetMode="External"/><Relationship Id="rId639" Type="http://schemas.openxmlformats.org/officeDocument/2006/relationships/hyperlink" Target="https://talan.bank.gov.ua/get-user-certificate/J5325taUgBOQdC8YzYvj" TargetMode="External"/><Relationship Id="rId1269" Type="http://schemas.openxmlformats.org/officeDocument/2006/relationships/hyperlink" Target="https://talan.bank.gov.ua/get-user-certificate/J53253-6MT2OCtOm7rrB" TargetMode="External"/><Relationship Id="rId1476" Type="http://schemas.openxmlformats.org/officeDocument/2006/relationships/hyperlink" Target="https://talan.bank.gov.ua/get-user-certificate/J53250-YLcpoRMpsRTaC" TargetMode="External"/><Relationship Id="rId2874" Type="http://schemas.openxmlformats.org/officeDocument/2006/relationships/hyperlink" Target="https://talan.bank.gov.ua/get-user-certificate/J5325-NG7z0kNgLOL8He" TargetMode="External"/><Relationship Id="rId3925" Type="http://schemas.openxmlformats.org/officeDocument/2006/relationships/hyperlink" Target="https://talan.bank.gov.ua/get-user-certificate/J5325W9lC550h-xe1rG4" TargetMode="External"/><Relationship Id="rId846" Type="http://schemas.openxmlformats.org/officeDocument/2006/relationships/hyperlink" Target="https://talan.bank.gov.ua/get-user-certificate/J5325MBpfrciYPpP3bkJ" TargetMode="External"/><Relationship Id="rId1129" Type="http://schemas.openxmlformats.org/officeDocument/2006/relationships/hyperlink" Target="https://talan.bank.gov.ua/get-user-certificate/J53253Q44PBK9qY2ci5o" TargetMode="External"/><Relationship Id="rId1683" Type="http://schemas.openxmlformats.org/officeDocument/2006/relationships/hyperlink" Target="https://talan.bank.gov.ua/get-user-certificate/J5325QWW2lHC2ftq51kx" TargetMode="External"/><Relationship Id="rId1890" Type="http://schemas.openxmlformats.org/officeDocument/2006/relationships/hyperlink" Target="https://talan.bank.gov.ua/get-user-certificate/J5325xvQe6cPtroCtyhb" TargetMode="External"/><Relationship Id="rId2527" Type="http://schemas.openxmlformats.org/officeDocument/2006/relationships/hyperlink" Target="https://talan.bank.gov.ua/get-user-certificate/J5325e43o_Kc_D3jtxZF" TargetMode="External"/><Relationship Id="rId2734" Type="http://schemas.openxmlformats.org/officeDocument/2006/relationships/hyperlink" Target="https://talan.bank.gov.ua/get-user-certificate/J5325Wx9uZj8a91JfduU" TargetMode="External"/><Relationship Id="rId2941" Type="http://schemas.openxmlformats.org/officeDocument/2006/relationships/hyperlink" Target="https://talan.bank.gov.ua/get-user-certificate/J5325_hB_b-3lFb7-4T4" TargetMode="External"/><Relationship Id="rId706" Type="http://schemas.openxmlformats.org/officeDocument/2006/relationships/hyperlink" Target="https://talan.bank.gov.ua/get-user-certificate/J5325Odc3-6m5JIB6Ca1" TargetMode="External"/><Relationship Id="rId913" Type="http://schemas.openxmlformats.org/officeDocument/2006/relationships/hyperlink" Target="https://talan.bank.gov.ua/get-user-certificate/J5325YLQiDGycHBhZNVy" TargetMode="External"/><Relationship Id="rId1336" Type="http://schemas.openxmlformats.org/officeDocument/2006/relationships/hyperlink" Target="https://talan.bank.gov.ua/get-user-certificate/J5325MLBTWeP1V0aP4Gn" TargetMode="External"/><Relationship Id="rId1543" Type="http://schemas.openxmlformats.org/officeDocument/2006/relationships/hyperlink" Target="https://talan.bank.gov.ua/get-user-certificate/J5325PIE5ZSco0xPu_pm" TargetMode="External"/><Relationship Id="rId1750" Type="http://schemas.openxmlformats.org/officeDocument/2006/relationships/hyperlink" Target="https://talan.bank.gov.ua/get-user-certificate/J5325WoEHAySyoQdj5gl" TargetMode="External"/><Relationship Id="rId2801" Type="http://schemas.openxmlformats.org/officeDocument/2006/relationships/hyperlink" Target="https://talan.bank.gov.ua/get-user-certificate/J5325mElbLIda8qZMZZQ" TargetMode="External"/><Relationship Id="rId42" Type="http://schemas.openxmlformats.org/officeDocument/2006/relationships/hyperlink" Target="https://talan.bank.gov.ua/get-user-certificate/J5325D64QrdojJDvKOt-" TargetMode="External"/><Relationship Id="rId1403" Type="http://schemas.openxmlformats.org/officeDocument/2006/relationships/hyperlink" Target="https://talan.bank.gov.ua/get-user-certificate/J5325FLvqoG-0VI778b2" TargetMode="External"/><Relationship Id="rId1610" Type="http://schemas.openxmlformats.org/officeDocument/2006/relationships/hyperlink" Target="https://talan.bank.gov.ua/get-user-certificate/J53255b4HwZGZ4LpTk4u" TargetMode="External"/><Relationship Id="rId3368" Type="http://schemas.openxmlformats.org/officeDocument/2006/relationships/hyperlink" Target="https://talan.bank.gov.ua/get-user-certificate/J53257WmCfGy8Fq3Vy0m" TargetMode="External"/><Relationship Id="rId3575" Type="http://schemas.openxmlformats.org/officeDocument/2006/relationships/hyperlink" Target="https://talan.bank.gov.ua/get-user-certificate/J5325VItdPWmQdBbuOEh" TargetMode="External"/><Relationship Id="rId3782" Type="http://schemas.openxmlformats.org/officeDocument/2006/relationships/hyperlink" Target="https://talan.bank.gov.ua/get-user-certificate/J53258O3kSF1HQFroHYM" TargetMode="External"/><Relationship Id="rId289" Type="http://schemas.openxmlformats.org/officeDocument/2006/relationships/hyperlink" Target="https://talan.bank.gov.ua/get-user-certificate/J5325kINx8BL1fx1os8R" TargetMode="External"/><Relationship Id="rId496" Type="http://schemas.openxmlformats.org/officeDocument/2006/relationships/hyperlink" Target="https://talan.bank.gov.ua/get-user-certificate/J5325knH6OFR1Z64UIyT" TargetMode="External"/><Relationship Id="rId2177" Type="http://schemas.openxmlformats.org/officeDocument/2006/relationships/hyperlink" Target="https://talan.bank.gov.ua/get-user-certificate/J5325qHT-78od0jNk-hl" TargetMode="External"/><Relationship Id="rId2384" Type="http://schemas.openxmlformats.org/officeDocument/2006/relationships/hyperlink" Target="https://talan.bank.gov.ua/get-user-certificate/J5325yCJ_LS03A-EcYB5" TargetMode="External"/><Relationship Id="rId2591" Type="http://schemas.openxmlformats.org/officeDocument/2006/relationships/hyperlink" Target="https://talan.bank.gov.ua/get-user-certificate/J5325WGD9vQhExmY92ED" TargetMode="External"/><Relationship Id="rId3228" Type="http://schemas.openxmlformats.org/officeDocument/2006/relationships/hyperlink" Target="https://talan.bank.gov.ua/get-user-certificate/J53254svNZ0xcKDLL4y0" TargetMode="External"/><Relationship Id="rId3435" Type="http://schemas.openxmlformats.org/officeDocument/2006/relationships/hyperlink" Target="https://talan.bank.gov.ua/get-user-certificate/J53256bvwkEqIeQ08GfB" TargetMode="External"/><Relationship Id="rId3642" Type="http://schemas.openxmlformats.org/officeDocument/2006/relationships/hyperlink" Target="https://talan.bank.gov.ua/get-user-certificate/J53250a0Xp8-0AiLY6Cu" TargetMode="External"/><Relationship Id="rId149" Type="http://schemas.openxmlformats.org/officeDocument/2006/relationships/hyperlink" Target="https://talan.bank.gov.ua/get-user-certificate/J53254OOD6VxXTR6YKot" TargetMode="External"/><Relationship Id="rId356" Type="http://schemas.openxmlformats.org/officeDocument/2006/relationships/hyperlink" Target="https://talan.bank.gov.ua/get-user-certificate/J5325GVskWiY1ix2i0bW" TargetMode="External"/><Relationship Id="rId563" Type="http://schemas.openxmlformats.org/officeDocument/2006/relationships/hyperlink" Target="https://talan.bank.gov.ua/get-user-certificate/J5325fOF8qv5b-eOUWL4" TargetMode="External"/><Relationship Id="rId770" Type="http://schemas.openxmlformats.org/officeDocument/2006/relationships/hyperlink" Target="https://talan.bank.gov.ua/get-user-certificate/J5325I__sh-J3OajyNEm" TargetMode="External"/><Relationship Id="rId1193" Type="http://schemas.openxmlformats.org/officeDocument/2006/relationships/hyperlink" Target="https://talan.bank.gov.ua/get-user-certificate/J5325MrFHqx75VTrmsOV" TargetMode="External"/><Relationship Id="rId2037" Type="http://schemas.openxmlformats.org/officeDocument/2006/relationships/hyperlink" Target="https://talan.bank.gov.ua/get-user-certificate/J5325Au_xjXMSKQgvch4" TargetMode="External"/><Relationship Id="rId2244" Type="http://schemas.openxmlformats.org/officeDocument/2006/relationships/hyperlink" Target="https://talan.bank.gov.ua/get-user-certificate/J5325hTqWhR63XCKDN0o" TargetMode="External"/><Relationship Id="rId2451" Type="http://schemas.openxmlformats.org/officeDocument/2006/relationships/hyperlink" Target="https://talan.bank.gov.ua/get-user-certificate/J53257ng-wBW8CYdXmab" TargetMode="External"/><Relationship Id="rId216" Type="http://schemas.openxmlformats.org/officeDocument/2006/relationships/hyperlink" Target="https://talan.bank.gov.ua/get-user-certificate/J5325Zv0kd0CDeym6R4e" TargetMode="External"/><Relationship Id="rId423" Type="http://schemas.openxmlformats.org/officeDocument/2006/relationships/hyperlink" Target="https://talan.bank.gov.ua/get-user-certificate/J5325ivTR3ffKtXXWYzR" TargetMode="External"/><Relationship Id="rId1053" Type="http://schemas.openxmlformats.org/officeDocument/2006/relationships/hyperlink" Target="https://talan.bank.gov.ua/get-user-certificate/J5325pvqgM1nQHsgUTdC" TargetMode="External"/><Relationship Id="rId1260" Type="http://schemas.openxmlformats.org/officeDocument/2006/relationships/hyperlink" Target="https://talan.bank.gov.ua/get-user-certificate/J5325VSGSPLQ7LLemcuC" TargetMode="External"/><Relationship Id="rId2104" Type="http://schemas.openxmlformats.org/officeDocument/2006/relationships/hyperlink" Target="https://talan.bank.gov.ua/get-user-certificate/J5325C-qqmw7RMTtygMx" TargetMode="External"/><Relationship Id="rId3502" Type="http://schemas.openxmlformats.org/officeDocument/2006/relationships/hyperlink" Target="https://talan.bank.gov.ua/get-user-certificate/J5325zrgQFb0DkgmCWRE" TargetMode="External"/><Relationship Id="rId630" Type="http://schemas.openxmlformats.org/officeDocument/2006/relationships/hyperlink" Target="https://talan.bank.gov.ua/get-user-certificate/J5325owAfhbrfWoOxLus" TargetMode="External"/><Relationship Id="rId2311" Type="http://schemas.openxmlformats.org/officeDocument/2006/relationships/hyperlink" Target="https://talan.bank.gov.ua/get-user-certificate/J5325JKNW8dWj7fQK8Wg" TargetMode="External"/><Relationship Id="rId4069" Type="http://schemas.openxmlformats.org/officeDocument/2006/relationships/hyperlink" Target="https://talan.bank.gov.ua/get-user-certificate/J5325LyyZeND-hAXRujU" TargetMode="External"/><Relationship Id="rId1120" Type="http://schemas.openxmlformats.org/officeDocument/2006/relationships/hyperlink" Target="https://talan.bank.gov.ua/get-user-certificate/J5325y3g-8ihWM1WT9wT" TargetMode="External"/><Relationship Id="rId1937" Type="http://schemas.openxmlformats.org/officeDocument/2006/relationships/hyperlink" Target="https://talan.bank.gov.ua/get-user-certificate/J5325pppCvNErDoCT3Ei" TargetMode="External"/><Relationship Id="rId3085" Type="http://schemas.openxmlformats.org/officeDocument/2006/relationships/hyperlink" Target="https://talan.bank.gov.ua/get-user-certificate/J532574ef7PbcDp9aaKt" TargetMode="External"/><Relationship Id="rId3292" Type="http://schemas.openxmlformats.org/officeDocument/2006/relationships/hyperlink" Target="https://talan.bank.gov.ua/get-user-certificate/J5325bi__CYbsTzJMWkK" TargetMode="External"/><Relationship Id="rId4136" Type="http://schemas.openxmlformats.org/officeDocument/2006/relationships/hyperlink" Target="https://talan.bank.gov.ua/get-user-certificate/J5325ZxZ2SBzjjclVoml" TargetMode="External"/><Relationship Id="rId3152" Type="http://schemas.openxmlformats.org/officeDocument/2006/relationships/hyperlink" Target="https://talan.bank.gov.ua/get-user-certificate/J5325zUv4Ql5zkWnTNid" TargetMode="External"/><Relationship Id="rId4203" Type="http://schemas.openxmlformats.org/officeDocument/2006/relationships/hyperlink" Target="https://talan.bank.gov.ua/get-user-certificate/TbxZWdVDEEcMEzFDtuuq" TargetMode="External"/><Relationship Id="rId280" Type="http://schemas.openxmlformats.org/officeDocument/2006/relationships/hyperlink" Target="https://talan.bank.gov.ua/get-user-certificate/J5325btHKwJVS5x-qGTu" TargetMode="External"/><Relationship Id="rId3012" Type="http://schemas.openxmlformats.org/officeDocument/2006/relationships/hyperlink" Target="https://talan.bank.gov.ua/get-user-certificate/J5325UF5NSLmbqh4GTZv" TargetMode="External"/><Relationship Id="rId140" Type="http://schemas.openxmlformats.org/officeDocument/2006/relationships/hyperlink" Target="https://talan.bank.gov.ua/get-user-certificate/J5325SABC0ZFUr2w-Roh" TargetMode="External"/><Relationship Id="rId3969" Type="http://schemas.openxmlformats.org/officeDocument/2006/relationships/hyperlink" Target="https://talan.bank.gov.ua/get-user-certificate/J5325eZ-eW-VwHijn9Jl" TargetMode="External"/><Relationship Id="rId6" Type="http://schemas.openxmlformats.org/officeDocument/2006/relationships/hyperlink" Target="https://talan.bank.gov.ua/get-user-certificate/J5325RG3RPTNXy70vFSW" TargetMode="External"/><Relationship Id="rId2778" Type="http://schemas.openxmlformats.org/officeDocument/2006/relationships/hyperlink" Target="https://talan.bank.gov.ua/get-user-certificate/J5325YrUKJ0vON9LuYC0" TargetMode="External"/><Relationship Id="rId2985" Type="http://schemas.openxmlformats.org/officeDocument/2006/relationships/hyperlink" Target="https://talan.bank.gov.ua/get-user-certificate/J5325Dx45tK6tF4BZT5n" TargetMode="External"/><Relationship Id="rId3829" Type="http://schemas.openxmlformats.org/officeDocument/2006/relationships/hyperlink" Target="https://talan.bank.gov.ua/get-user-certificate/J532592fHPMh1HJ18_FW" TargetMode="External"/><Relationship Id="rId957" Type="http://schemas.openxmlformats.org/officeDocument/2006/relationships/hyperlink" Target="https://talan.bank.gov.ua/get-user-certificate/J5325YK3VXY_xmZkPh1Y" TargetMode="External"/><Relationship Id="rId1587" Type="http://schemas.openxmlformats.org/officeDocument/2006/relationships/hyperlink" Target="https://talan.bank.gov.ua/get-user-certificate/J5325BuEHudDZ2DfAaEw" TargetMode="External"/><Relationship Id="rId1794" Type="http://schemas.openxmlformats.org/officeDocument/2006/relationships/hyperlink" Target="https://talan.bank.gov.ua/get-user-certificate/J53257NEWxQTNGmNZPDP" TargetMode="External"/><Relationship Id="rId2638" Type="http://schemas.openxmlformats.org/officeDocument/2006/relationships/hyperlink" Target="https://talan.bank.gov.ua/get-user-certificate/J5325vls5Z6HFcfgbp4S" TargetMode="External"/><Relationship Id="rId2845" Type="http://schemas.openxmlformats.org/officeDocument/2006/relationships/hyperlink" Target="https://talan.bank.gov.ua/get-user-certificate/J5325l0ur0Duxya-SkMI" TargetMode="External"/><Relationship Id="rId86" Type="http://schemas.openxmlformats.org/officeDocument/2006/relationships/hyperlink" Target="https://talan.bank.gov.ua/get-user-certificate/J5325MuhN7heEqB-Voe3" TargetMode="External"/><Relationship Id="rId817" Type="http://schemas.openxmlformats.org/officeDocument/2006/relationships/hyperlink" Target="https://talan.bank.gov.ua/get-user-certificate/J5325Ai_KUKSIF2SfTJ-" TargetMode="External"/><Relationship Id="rId1447" Type="http://schemas.openxmlformats.org/officeDocument/2006/relationships/hyperlink" Target="https://talan.bank.gov.ua/get-user-certificate/J5325uPC6EiblhvvSEIW" TargetMode="External"/><Relationship Id="rId1654" Type="http://schemas.openxmlformats.org/officeDocument/2006/relationships/hyperlink" Target="https://talan.bank.gov.ua/get-user-certificate/J5325b6PBbdXx00Tf0Kd" TargetMode="External"/><Relationship Id="rId1861" Type="http://schemas.openxmlformats.org/officeDocument/2006/relationships/hyperlink" Target="https://talan.bank.gov.ua/get-user-certificate/J5325ahVc6a_AIU-rZDh" TargetMode="External"/><Relationship Id="rId2705" Type="http://schemas.openxmlformats.org/officeDocument/2006/relationships/hyperlink" Target="https://talan.bank.gov.ua/get-user-certificate/J53251tKwZoVAIXdGhzZ" TargetMode="External"/><Relationship Id="rId2912" Type="http://schemas.openxmlformats.org/officeDocument/2006/relationships/hyperlink" Target="https://talan.bank.gov.ua/get-user-certificate/J5325vzXkhTvZYoFiIH9" TargetMode="External"/><Relationship Id="rId4060" Type="http://schemas.openxmlformats.org/officeDocument/2006/relationships/hyperlink" Target="https://talan.bank.gov.ua/get-user-certificate/J5325f6F4ns23_a3SA99" TargetMode="External"/><Relationship Id="rId1307" Type="http://schemas.openxmlformats.org/officeDocument/2006/relationships/hyperlink" Target="https://talan.bank.gov.ua/get-user-certificate/J5325z_egVE6pjjPhluu" TargetMode="External"/><Relationship Id="rId1514" Type="http://schemas.openxmlformats.org/officeDocument/2006/relationships/hyperlink" Target="https://talan.bank.gov.ua/get-user-certificate/J5325BJpMYCUZ2hQ_guu" TargetMode="External"/><Relationship Id="rId1721" Type="http://schemas.openxmlformats.org/officeDocument/2006/relationships/hyperlink" Target="https://talan.bank.gov.ua/get-user-certificate/J5325UL7FwrSRjuVuJ-N" TargetMode="External"/><Relationship Id="rId13" Type="http://schemas.openxmlformats.org/officeDocument/2006/relationships/hyperlink" Target="https://talan.bank.gov.ua/get-user-certificate/J53257oYUuf36G9aaEJO" TargetMode="External"/><Relationship Id="rId3479" Type="http://schemas.openxmlformats.org/officeDocument/2006/relationships/hyperlink" Target="https://talan.bank.gov.ua/get-user-certificate/J5325L_KdofCc-5Pmt7_" TargetMode="External"/><Relationship Id="rId3686" Type="http://schemas.openxmlformats.org/officeDocument/2006/relationships/hyperlink" Target="https://talan.bank.gov.ua/get-user-certificate/J5325kVSt94x-u-PPJBb" TargetMode="External"/><Relationship Id="rId2288" Type="http://schemas.openxmlformats.org/officeDocument/2006/relationships/hyperlink" Target="https://talan.bank.gov.ua/get-user-certificate/J5325HzHYsO9j_q_GxEq" TargetMode="External"/><Relationship Id="rId2495" Type="http://schemas.openxmlformats.org/officeDocument/2006/relationships/hyperlink" Target="https://talan.bank.gov.ua/get-user-certificate/J53253GTKS1bFY34ctIc" TargetMode="External"/><Relationship Id="rId3339" Type="http://schemas.openxmlformats.org/officeDocument/2006/relationships/hyperlink" Target="https://talan.bank.gov.ua/get-user-certificate/J5325aDPn6ET27Nzh5jX" TargetMode="External"/><Relationship Id="rId3893" Type="http://schemas.openxmlformats.org/officeDocument/2006/relationships/hyperlink" Target="https://talan.bank.gov.ua/get-user-certificate/J5325EBQZpb8N7CEzyft" TargetMode="External"/><Relationship Id="rId467" Type="http://schemas.openxmlformats.org/officeDocument/2006/relationships/hyperlink" Target="https://talan.bank.gov.ua/get-user-certificate/J5325eZ3uuV7zg4oz66E" TargetMode="External"/><Relationship Id="rId1097" Type="http://schemas.openxmlformats.org/officeDocument/2006/relationships/hyperlink" Target="https://talan.bank.gov.ua/get-user-certificate/J5325EcLWsX6sFLRDuZj" TargetMode="External"/><Relationship Id="rId2148" Type="http://schemas.openxmlformats.org/officeDocument/2006/relationships/hyperlink" Target="https://talan.bank.gov.ua/get-user-certificate/J5325Cmmpbx8IdmoCQA_" TargetMode="External"/><Relationship Id="rId3546" Type="http://schemas.openxmlformats.org/officeDocument/2006/relationships/hyperlink" Target="https://talan.bank.gov.ua/get-user-certificate/J5325CeixTMN97WkdDVV" TargetMode="External"/><Relationship Id="rId3753" Type="http://schemas.openxmlformats.org/officeDocument/2006/relationships/hyperlink" Target="https://talan.bank.gov.ua/get-user-certificate/J532520J9tgD69roHW3M" TargetMode="External"/><Relationship Id="rId3960" Type="http://schemas.openxmlformats.org/officeDocument/2006/relationships/hyperlink" Target="https://talan.bank.gov.ua/get-user-certificate/J5325iFlrnj5FBK6FQal" TargetMode="External"/><Relationship Id="rId674" Type="http://schemas.openxmlformats.org/officeDocument/2006/relationships/hyperlink" Target="https://talan.bank.gov.ua/get-user-certificate/J5325t91Ysk0lduL4bYB" TargetMode="External"/><Relationship Id="rId881" Type="http://schemas.openxmlformats.org/officeDocument/2006/relationships/hyperlink" Target="https://talan.bank.gov.ua/get-user-certificate/J53251znaVy14A5dhI5X" TargetMode="External"/><Relationship Id="rId2355" Type="http://schemas.openxmlformats.org/officeDocument/2006/relationships/hyperlink" Target="https://talan.bank.gov.ua/get-user-certificate/J5325nxWkt7kSzz6o59c" TargetMode="External"/><Relationship Id="rId2562" Type="http://schemas.openxmlformats.org/officeDocument/2006/relationships/hyperlink" Target="https://talan.bank.gov.ua/get-user-certificate/J5325zYlrCAyTtqiItqo" TargetMode="External"/><Relationship Id="rId3406" Type="http://schemas.openxmlformats.org/officeDocument/2006/relationships/hyperlink" Target="https://talan.bank.gov.ua/get-user-certificate/J53250XcjyTIQ9udeS1x" TargetMode="External"/><Relationship Id="rId3613" Type="http://schemas.openxmlformats.org/officeDocument/2006/relationships/hyperlink" Target="https://talan.bank.gov.ua/get-user-certificate/J5325wdjd0znX33RU4z6" TargetMode="External"/><Relationship Id="rId3820" Type="http://schemas.openxmlformats.org/officeDocument/2006/relationships/hyperlink" Target="https://talan.bank.gov.ua/get-user-certificate/J5325AIgHMCTWP9PrwXz" TargetMode="External"/><Relationship Id="rId327" Type="http://schemas.openxmlformats.org/officeDocument/2006/relationships/hyperlink" Target="https://talan.bank.gov.ua/get-user-certificate/J5325UwIDJj23k-2O1gq" TargetMode="External"/><Relationship Id="rId534" Type="http://schemas.openxmlformats.org/officeDocument/2006/relationships/hyperlink" Target="https://talan.bank.gov.ua/get-user-certificate/J53250oVAQTO5pQCXQoS" TargetMode="External"/><Relationship Id="rId741" Type="http://schemas.openxmlformats.org/officeDocument/2006/relationships/hyperlink" Target="https://talan.bank.gov.ua/get-user-certificate/J5325Vqx5KFGkgMpkQwp" TargetMode="External"/><Relationship Id="rId1164" Type="http://schemas.openxmlformats.org/officeDocument/2006/relationships/hyperlink" Target="https://talan.bank.gov.ua/get-user-certificate/J5325KD8Oj7jb__m0uyy" TargetMode="External"/><Relationship Id="rId1371" Type="http://schemas.openxmlformats.org/officeDocument/2006/relationships/hyperlink" Target="https://talan.bank.gov.ua/get-user-certificate/J5325rpW5ispimz4ZsI1" TargetMode="External"/><Relationship Id="rId2008" Type="http://schemas.openxmlformats.org/officeDocument/2006/relationships/hyperlink" Target="https://talan.bank.gov.ua/get-user-certificate/J5325wZBYjTWYuWoxHwh" TargetMode="External"/><Relationship Id="rId2215" Type="http://schemas.openxmlformats.org/officeDocument/2006/relationships/hyperlink" Target="https://talan.bank.gov.ua/get-user-certificate/J5325talO4Udx2SD9T7S" TargetMode="External"/><Relationship Id="rId2422" Type="http://schemas.openxmlformats.org/officeDocument/2006/relationships/hyperlink" Target="https://talan.bank.gov.ua/get-user-certificate/J5325nz1Ek4K-eBiBtkA" TargetMode="External"/><Relationship Id="rId601" Type="http://schemas.openxmlformats.org/officeDocument/2006/relationships/hyperlink" Target="https://talan.bank.gov.ua/get-user-certificate/J5325LTyyZ1a5hfjInz8" TargetMode="External"/><Relationship Id="rId1024" Type="http://schemas.openxmlformats.org/officeDocument/2006/relationships/hyperlink" Target="https://talan.bank.gov.ua/get-user-certificate/J5325j8UZO80k4i3a3fG" TargetMode="External"/><Relationship Id="rId1231" Type="http://schemas.openxmlformats.org/officeDocument/2006/relationships/hyperlink" Target="https://talan.bank.gov.ua/get-user-certificate/J53251YTfzLXpMyzYVd5" TargetMode="External"/><Relationship Id="rId3196" Type="http://schemas.openxmlformats.org/officeDocument/2006/relationships/hyperlink" Target="https://talan.bank.gov.ua/get-user-certificate/J5325A2Riq4j1niyAJEX" TargetMode="External"/><Relationship Id="rId4247" Type="http://schemas.openxmlformats.org/officeDocument/2006/relationships/hyperlink" Target="https://talan.bank.gov.ua/get-user-certificate/CYWPHFph0TB94nf4vS6-" TargetMode="External"/><Relationship Id="rId3056" Type="http://schemas.openxmlformats.org/officeDocument/2006/relationships/hyperlink" Target="https://talan.bank.gov.ua/get-user-certificate/J5325qorp5-xfJ3pWlUz" TargetMode="External"/><Relationship Id="rId3263" Type="http://schemas.openxmlformats.org/officeDocument/2006/relationships/hyperlink" Target="https://talan.bank.gov.ua/get-user-certificate/J5325UkHseMYhw1c7Jxv" TargetMode="External"/><Relationship Id="rId3470" Type="http://schemas.openxmlformats.org/officeDocument/2006/relationships/hyperlink" Target="https://talan.bank.gov.ua/get-user-certificate/J5325n7gUv-DlS-hBzTA" TargetMode="External"/><Relationship Id="rId4107" Type="http://schemas.openxmlformats.org/officeDocument/2006/relationships/hyperlink" Target="https://talan.bank.gov.ua/get-user-certificate/J53253Bk-gHUPCrZE3LK" TargetMode="External"/><Relationship Id="rId184" Type="http://schemas.openxmlformats.org/officeDocument/2006/relationships/hyperlink" Target="https://talan.bank.gov.ua/get-user-certificate/J5325CjNtniAcEfgkiDq" TargetMode="External"/><Relationship Id="rId391" Type="http://schemas.openxmlformats.org/officeDocument/2006/relationships/hyperlink" Target="https://talan.bank.gov.ua/get-user-certificate/J5325lZ8Jd2jpsW-oYw1" TargetMode="External"/><Relationship Id="rId1908" Type="http://schemas.openxmlformats.org/officeDocument/2006/relationships/hyperlink" Target="https://talan.bank.gov.ua/get-user-certificate/J5325QMI86lD4fUFoDdr" TargetMode="External"/><Relationship Id="rId2072" Type="http://schemas.openxmlformats.org/officeDocument/2006/relationships/hyperlink" Target="https://talan.bank.gov.ua/get-user-certificate/J5325dIgv4ts4W9_Me9h" TargetMode="External"/><Relationship Id="rId3123" Type="http://schemas.openxmlformats.org/officeDocument/2006/relationships/hyperlink" Target="https://talan.bank.gov.ua/get-user-certificate/J5325tGeWgUN3fn3ICOm" TargetMode="External"/><Relationship Id="rId251" Type="http://schemas.openxmlformats.org/officeDocument/2006/relationships/hyperlink" Target="https://talan.bank.gov.ua/get-user-certificate/J5325ZDMNt5ATdW0DBwG" TargetMode="External"/><Relationship Id="rId3330" Type="http://schemas.openxmlformats.org/officeDocument/2006/relationships/hyperlink" Target="https://talan.bank.gov.ua/get-user-certificate/J5325fgO73bm7f3dyQMX" TargetMode="External"/><Relationship Id="rId2889" Type="http://schemas.openxmlformats.org/officeDocument/2006/relationships/hyperlink" Target="https://talan.bank.gov.ua/get-user-certificate/J5325b7pKHSlSqaZ5HBB" TargetMode="External"/><Relationship Id="rId111" Type="http://schemas.openxmlformats.org/officeDocument/2006/relationships/hyperlink" Target="https://talan.bank.gov.ua/get-user-certificate/J5325ppUJHkL3ZPdTB7d" TargetMode="External"/><Relationship Id="rId1698" Type="http://schemas.openxmlformats.org/officeDocument/2006/relationships/hyperlink" Target="https://talan.bank.gov.ua/get-user-certificate/J53250EcjbyLU1L_3LGy" TargetMode="External"/><Relationship Id="rId2749" Type="http://schemas.openxmlformats.org/officeDocument/2006/relationships/hyperlink" Target="https://talan.bank.gov.ua/get-user-certificate/J5325QTmwwkaheVPFRMF" TargetMode="External"/><Relationship Id="rId2956" Type="http://schemas.openxmlformats.org/officeDocument/2006/relationships/hyperlink" Target="https://talan.bank.gov.ua/get-user-certificate/J5325e8Gzg5W9QOt6lIm" TargetMode="External"/><Relationship Id="rId928" Type="http://schemas.openxmlformats.org/officeDocument/2006/relationships/hyperlink" Target="https://talan.bank.gov.ua/get-user-certificate/J5325mnvofGJ7Vejt-RV" TargetMode="External"/><Relationship Id="rId1558" Type="http://schemas.openxmlformats.org/officeDocument/2006/relationships/hyperlink" Target="https://talan.bank.gov.ua/get-user-certificate/J53254FmEHeKsJrOjZKF" TargetMode="External"/><Relationship Id="rId1765" Type="http://schemas.openxmlformats.org/officeDocument/2006/relationships/hyperlink" Target="https://talan.bank.gov.ua/get-user-certificate/J5325uUOQKxTi1BejILa" TargetMode="External"/><Relationship Id="rId2609" Type="http://schemas.openxmlformats.org/officeDocument/2006/relationships/hyperlink" Target="https://talan.bank.gov.ua/get-user-certificate/J53252Gg7Tbs6uFQZ_Pk" TargetMode="External"/><Relationship Id="rId4171" Type="http://schemas.openxmlformats.org/officeDocument/2006/relationships/hyperlink" Target="https://talan.bank.gov.ua/get-user-certificate/TbxZWpPhOPe8BOJR4LLK" TargetMode="External"/><Relationship Id="rId57" Type="http://schemas.openxmlformats.org/officeDocument/2006/relationships/hyperlink" Target="https://talan.bank.gov.ua/get-user-certificate/J5325Oih3tTWEgxAIyM_" TargetMode="External"/><Relationship Id="rId1418" Type="http://schemas.openxmlformats.org/officeDocument/2006/relationships/hyperlink" Target="https://talan.bank.gov.ua/get-user-certificate/J5325At9Jw3-mslPHn8M" TargetMode="External"/><Relationship Id="rId1972" Type="http://schemas.openxmlformats.org/officeDocument/2006/relationships/hyperlink" Target="https://talan.bank.gov.ua/get-user-certificate/J532557JDQoiVjHYaN3t" TargetMode="External"/><Relationship Id="rId2816" Type="http://schemas.openxmlformats.org/officeDocument/2006/relationships/hyperlink" Target="https://talan.bank.gov.ua/get-user-certificate/J5325BiqvfQqso1Opm5z" TargetMode="External"/><Relationship Id="rId4031" Type="http://schemas.openxmlformats.org/officeDocument/2006/relationships/hyperlink" Target="https://talan.bank.gov.ua/get-user-certificate/J5325sCT3iG7lv-xmCpd" TargetMode="External"/><Relationship Id="rId1625" Type="http://schemas.openxmlformats.org/officeDocument/2006/relationships/hyperlink" Target="https://talan.bank.gov.ua/get-user-certificate/J5325t5BW5sCDRdcxwRy" TargetMode="External"/><Relationship Id="rId1832" Type="http://schemas.openxmlformats.org/officeDocument/2006/relationships/hyperlink" Target="https://talan.bank.gov.ua/get-user-certificate/J5325vKHxERnh0o4_dVK" TargetMode="External"/><Relationship Id="rId3797" Type="http://schemas.openxmlformats.org/officeDocument/2006/relationships/hyperlink" Target="https://talan.bank.gov.ua/get-user-certificate/J5325_u0dRr9ec_N8-I-" TargetMode="External"/><Relationship Id="rId2399" Type="http://schemas.openxmlformats.org/officeDocument/2006/relationships/hyperlink" Target="https://talan.bank.gov.ua/get-user-certificate/J53253bBjaH97B66ZnjW" TargetMode="External"/><Relationship Id="rId3657" Type="http://schemas.openxmlformats.org/officeDocument/2006/relationships/hyperlink" Target="https://talan.bank.gov.ua/get-user-certificate/J5325e_wtK2QzouHSSD1" TargetMode="External"/><Relationship Id="rId3864" Type="http://schemas.openxmlformats.org/officeDocument/2006/relationships/hyperlink" Target="https://talan.bank.gov.ua/get-user-certificate/J5325k9jKWw6KjtA0aWY" TargetMode="External"/><Relationship Id="rId578" Type="http://schemas.openxmlformats.org/officeDocument/2006/relationships/hyperlink" Target="https://talan.bank.gov.ua/get-user-certificate/J5325mcYaCOztOeGnBTe" TargetMode="External"/><Relationship Id="rId785" Type="http://schemas.openxmlformats.org/officeDocument/2006/relationships/hyperlink" Target="https://talan.bank.gov.ua/get-user-certificate/J5325nXmpjWILhFzd4Qq" TargetMode="External"/><Relationship Id="rId992" Type="http://schemas.openxmlformats.org/officeDocument/2006/relationships/hyperlink" Target="https://talan.bank.gov.ua/get-user-certificate/J5325FaO3Z-n5xuMHjJh" TargetMode="External"/><Relationship Id="rId2259" Type="http://schemas.openxmlformats.org/officeDocument/2006/relationships/hyperlink" Target="https://talan.bank.gov.ua/get-user-certificate/J5325ZzVd5igO_YTOqHz" TargetMode="External"/><Relationship Id="rId2466" Type="http://schemas.openxmlformats.org/officeDocument/2006/relationships/hyperlink" Target="https://talan.bank.gov.ua/get-user-certificate/J5325o6KT10ULq9FdnW_" TargetMode="External"/><Relationship Id="rId2673" Type="http://schemas.openxmlformats.org/officeDocument/2006/relationships/hyperlink" Target="https://talan.bank.gov.ua/get-user-certificate/J5325HvrJWJwHPxFCiJy" TargetMode="External"/><Relationship Id="rId2880" Type="http://schemas.openxmlformats.org/officeDocument/2006/relationships/hyperlink" Target="https://talan.bank.gov.ua/get-user-certificate/J53252KH7gE-RtuGLcIo" TargetMode="External"/><Relationship Id="rId3517" Type="http://schemas.openxmlformats.org/officeDocument/2006/relationships/hyperlink" Target="https://talan.bank.gov.ua/get-user-certificate/J5325BLXTR6BwA3DGNPe" TargetMode="External"/><Relationship Id="rId3724" Type="http://schemas.openxmlformats.org/officeDocument/2006/relationships/hyperlink" Target="https://talan.bank.gov.ua/get-user-certificate/J5325UY1hAG3CE6RAoX8" TargetMode="External"/><Relationship Id="rId3931" Type="http://schemas.openxmlformats.org/officeDocument/2006/relationships/hyperlink" Target="https://talan.bank.gov.ua/get-user-certificate/J5325fzJxYU9Fv15v9O8" TargetMode="External"/><Relationship Id="rId438" Type="http://schemas.openxmlformats.org/officeDocument/2006/relationships/hyperlink" Target="https://talan.bank.gov.ua/get-user-certificate/J5325uly4mqqj_iTx0ES" TargetMode="External"/><Relationship Id="rId645" Type="http://schemas.openxmlformats.org/officeDocument/2006/relationships/hyperlink" Target="https://talan.bank.gov.ua/get-user-certificate/J5325L2sx3cJcCEbZSqk" TargetMode="External"/><Relationship Id="rId852" Type="http://schemas.openxmlformats.org/officeDocument/2006/relationships/hyperlink" Target="https://talan.bank.gov.ua/get-user-certificate/J5325xWf-rkXNXFHFc_M" TargetMode="External"/><Relationship Id="rId1068" Type="http://schemas.openxmlformats.org/officeDocument/2006/relationships/hyperlink" Target="https://talan.bank.gov.ua/get-user-certificate/J53253A3gxpKT9oUq5bj" TargetMode="External"/><Relationship Id="rId1275" Type="http://schemas.openxmlformats.org/officeDocument/2006/relationships/hyperlink" Target="https://talan.bank.gov.ua/get-user-certificate/J5325Rp6xYj6CZRUHI_0" TargetMode="External"/><Relationship Id="rId1482" Type="http://schemas.openxmlformats.org/officeDocument/2006/relationships/hyperlink" Target="https://talan.bank.gov.ua/get-user-certificate/J5325u2Tlr65SWp43v6-" TargetMode="External"/><Relationship Id="rId2119" Type="http://schemas.openxmlformats.org/officeDocument/2006/relationships/hyperlink" Target="https://talan.bank.gov.ua/get-user-certificate/J5325Sb5sBH6Xtf_keRf" TargetMode="External"/><Relationship Id="rId2326" Type="http://schemas.openxmlformats.org/officeDocument/2006/relationships/hyperlink" Target="https://talan.bank.gov.ua/get-user-certificate/J53259_gdQfSKiddxzAK" TargetMode="External"/><Relationship Id="rId2533" Type="http://schemas.openxmlformats.org/officeDocument/2006/relationships/hyperlink" Target="https://talan.bank.gov.ua/get-user-certificate/J5325A5xLawfxlBPgY5t" TargetMode="External"/><Relationship Id="rId2740" Type="http://schemas.openxmlformats.org/officeDocument/2006/relationships/hyperlink" Target="https://talan.bank.gov.ua/get-user-certificate/J5325mM8PqREfDiWdl61" TargetMode="External"/><Relationship Id="rId505" Type="http://schemas.openxmlformats.org/officeDocument/2006/relationships/hyperlink" Target="https://talan.bank.gov.ua/get-user-certificate/J5325ts6_pmqmWWKgpmb" TargetMode="External"/><Relationship Id="rId712" Type="http://schemas.openxmlformats.org/officeDocument/2006/relationships/hyperlink" Target="https://talan.bank.gov.ua/get-user-certificate/J5325x2_C9wdJkxXje-o" TargetMode="External"/><Relationship Id="rId1135" Type="http://schemas.openxmlformats.org/officeDocument/2006/relationships/hyperlink" Target="https://talan.bank.gov.ua/get-user-certificate/J5325xPf4wS-5ZYuVOhd" TargetMode="External"/><Relationship Id="rId1342" Type="http://schemas.openxmlformats.org/officeDocument/2006/relationships/hyperlink" Target="https://talan.bank.gov.ua/get-user-certificate/J53251IAO4N10NjKwhBh" TargetMode="External"/><Relationship Id="rId1202" Type="http://schemas.openxmlformats.org/officeDocument/2006/relationships/hyperlink" Target="https://talan.bank.gov.ua/get-user-certificate/J5325PVradNAB0Fe6m_h" TargetMode="External"/><Relationship Id="rId2600" Type="http://schemas.openxmlformats.org/officeDocument/2006/relationships/hyperlink" Target="https://talan.bank.gov.ua/get-user-certificate/J5325k39vWk7oRU6CQ9Y" TargetMode="External"/><Relationship Id="rId3167" Type="http://schemas.openxmlformats.org/officeDocument/2006/relationships/hyperlink" Target="https://talan.bank.gov.ua/get-user-certificate/J5325swb5KBBrL_u3ufJ" TargetMode="External"/><Relationship Id="rId295" Type="http://schemas.openxmlformats.org/officeDocument/2006/relationships/hyperlink" Target="https://talan.bank.gov.ua/get-user-certificate/J5325I_-Oal6BEzwKNjG" TargetMode="External"/><Relationship Id="rId3374" Type="http://schemas.openxmlformats.org/officeDocument/2006/relationships/hyperlink" Target="https://talan.bank.gov.ua/get-user-certificate/J53255aVO_XkIU1gqZg5" TargetMode="External"/><Relationship Id="rId3581" Type="http://schemas.openxmlformats.org/officeDocument/2006/relationships/hyperlink" Target="https://talan.bank.gov.ua/get-user-certificate/J5325FmKIwLn9rDt5zAO" TargetMode="External"/><Relationship Id="rId4218" Type="http://schemas.openxmlformats.org/officeDocument/2006/relationships/hyperlink" Target="https://talan.bank.gov.ua/get-user-certificate/CYWPHM1Lu-_2aQ3AGK5E" TargetMode="External"/><Relationship Id="rId2183" Type="http://schemas.openxmlformats.org/officeDocument/2006/relationships/hyperlink" Target="https://talan.bank.gov.ua/get-user-certificate/J5325GanDG8iYHBzW_Rf" TargetMode="External"/><Relationship Id="rId2390" Type="http://schemas.openxmlformats.org/officeDocument/2006/relationships/hyperlink" Target="https://talan.bank.gov.ua/get-user-certificate/J5325nK9xaau8mPMaE7b" TargetMode="External"/><Relationship Id="rId3027" Type="http://schemas.openxmlformats.org/officeDocument/2006/relationships/hyperlink" Target="https://talan.bank.gov.ua/get-user-certificate/J5325CCgvBykCjvhUfVz" TargetMode="External"/><Relationship Id="rId3234" Type="http://schemas.openxmlformats.org/officeDocument/2006/relationships/hyperlink" Target="https://talan.bank.gov.ua/get-user-certificate/J5325_2L3CHLsygC1zYc" TargetMode="External"/><Relationship Id="rId3441" Type="http://schemas.openxmlformats.org/officeDocument/2006/relationships/hyperlink" Target="https://talan.bank.gov.ua/get-user-certificate/J5325fO0-QeBSirO5Tfi" TargetMode="External"/><Relationship Id="rId155" Type="http://schemas.openxmlformats.org/officeDocument/2006/relationships/hyperlink" Target="https://talan.bank.gov.ua/get-user-certificate/J5325BAsi0_G1gFGwrlZ" TargetMode="External"/><Relationship Id="rId362" Type="http://schemas.openxmlformats.org/officeDocument/2006/relationships/hyperlink" Target="https://talan.bank.gov.ua/get-user-certificate/J5325y8c0GVqPtbTcIOO" TargetMode="External"/><Relationship Id="rId2043" Type="http://schemas.openxmlformats.org/officeDocument/2006/relationships/hyperlink" Target="https://talan.bank.gov.ua/get-user-certificate/J53258OTkTylxY4eYv3t" TargetMode="External"/><Relationship Id="rId2250" Type="http://schemas.openxmlformats.org/officeDocument/2006/relationships/hyperlink" Target="https://talan.bank.gov.ua/get-user-certificate/J5325k83R80NPhnxAPTB" TargetMode="External"/><Relationship Id="rId3301" Type="http://schemas.openxmlformats.org/officeDocument/2006/relationships/hyperlink" Target="https://talan.bank.gov.ua/get-user-certificate/J5325qW20Kebz6zMyobc" TargetMode="External"/><Relationship Id="rId222" Type="http://schemas.openxmlformats.org/officeDocument/2006/relationships/hyperlink" Target="https://talan.bank.gov.ua/get-user-certificate/J532554KkaJsF0Q3ZQoq" TargetMode="External"/><Relationship Id="rId2110" Type="http://schemas.openxmlformats.org/officeDocument/2006/relationships/hyperlink" Target="https://talan.bank.gov.ua/get-user-certificate/J5325Yj2h7YQDnPH5oJM" TargetMode="External"/><Relationship Id="rId4075" Type="http://schemas.openxmlformats.org/officeDocument/2006/relationships/hyperlink" Target="https://talan.bank.gov.ua/get-user-certificate/J5325_N5sHH1hVvEOsuV" TargetMode="External"/><Relationship Id="rId1669" Type="http://schemas.openxmlformats.org/officeDocument/2006/relationships/hyperlink" Target="https://talan.bank.gov.ua/get-user-certificate/J5325Vw_Yj3RK1B7mmzP" TargetMode="External"/><Relationship Id="rId1876" Type="http://schemas.openxmlformats.org/officeDocument/2006/relationships/hyperlink" Target="https://talan.bank.gov.ua/get-user-certificate/J5325b9ofZ_77xtJigx6" TargetMode="External"/><Relationship Id="rId2927" Type="http://schemas.openxmlformats.org/officeDocument/2006/relationships/hyperlink" Target="https://talan.bank.gov.ua/get-user-certificate/J5325FvguXbUR9gm1GuH" TargetMode="External"/><Relationship Id="rId3091" Type="http://schemas.openxmlformats.org/officeDocument/2006/relationships/hyperlink" Target="https://talan.bank.gov.ua/get-user-certificate/J5325IGHJhv0pZnLZGnm" TargetMode="External"/><Relationship Id="rId4142" Type="http://schemas.openxmlformats.org/officeDocument/2006/relationships/hyperlink" Target="https://talan.bank.gov.ua/get-user-certificate/J5325pes9nD9Vk3_U_Rz" TargetMode="External"/><Relationship Id="rId1529" Type="http://schemas.openxmlformats.org/officeDocument/2006/relationships/hyperlink" Target="https://talan.bank.gov.ua/get-user-certificate/J5325rHdmugM0qWtpb1X" TargetMode="External"/><Relationship Id="rId1736" Type="http://schemas.openxmlformats.org/officeDocument/2006/relationships/hyperlink" Target="https://talan.bank.gov.ua/get-user-certificate/J5325cppWUv0NEqpIEnC" TargetMode="External"/><Relationship Id="rId1943" Type="http://schemas.openxmlformats.org/officeDocument/2006/relationships/hyperlink" Target="https://talan.bank.gov.ua/get-user-certificate/J5325nCxR1sXqSp1QhKc" TargetMode="External"/><Relationship Id="rId28" Type="http://schemas.openxmlformats.org/officeDocument/2006/relationships/hyperlink" Target="https://talan.bank.gov.ua/get-user-certificate/J5325iT4YN9x4GpRzyEa" TargetMode="External"/><Relationship Id="rId1803" Type="http://schemas.openxmlformats.org/officeDocument/2006/relationships/hyperlink" Target="https://talan.bank.gov.ua/get-user-certificate/J5325nJuLce8vufl7HAr" TargetMode="External"/><Relationship Id="rId4002" Type="http://schemas.openxmlformats.org/officeDocument/2006/relationships/hyperlink" Target="https://talan.bank.gov.ua/get-user-certificate/J5325ziVubHx8xrSJMyg" TargetMode="External"/><Relationship Id="rId3768" Type="http://schemas.openxmlformats.org/officeDocument/2006/relationships/hyperlink" Target="https://talan.bank.gov.ua/get-user-certificate/J5325_vUwIJUE-g8OqmL" TargetMode="External"/><Relationship Id="rId3975" Type="http://schemas.openxmlformats.org/officeDocument/2006/relationships/hyperlink" Target="https://talan.bank.gov.ua/get-user-certificate/J5325vmaRehWfL2nPml3" TargetMode="External"/><Relationship Id="rId689" Type="http://schemas.openxmlformats.org/officeDocument/2006/relationships/hyperlink" Target="https://talan.bank.gov.ua/get-user-certificate/J5325S3QxuJMyFkWdjbZ" TargetMode="External"/><Relationship Id="rId896" Type="http://schemas.openxmlformats.org/officeDocument/2006/relationships/hyperlink" Target="https://talan.bank.gov.ua/get-user-certificate/J5325AZX9X594HO8e4L1" TargetMode="External"/><Relationship Id="rId2577" Type="http://schemas.openxmlformats.org/officeDocument/2006/relationships/hyperlink" Target="https://talan.bank.gov.ua/get-user-certificate/J53250hAE47jmXqsD1x7" TargetMode="External"/><Relationship Id="rId2784" Type="http://schemas.openxmlformats.org/officeDocument/2006/relationships/hyperlink" Target="https://talan.bank.gov.ua/get-user-certificate/J53257vjOoAubhzBv2SU" TargetMode="External"/><Relationship Id="rId3628" Type="http://schemas.openxmlformats.org/officeDocument/2006/relationships/hyperlink" Target="https://talan.bank.gov.ua/get-user-certificate/J5325Jx19W3Y9pi8j7XX" TargetMode="External"/><Relationship Id="rId549" Type="http://schemas.openxmlformats.org/officeDocument/2006/relationships/hyperlink" Target="https://talan.bank.gov.ua/get-user-certificate/J5325Mv7TIR03XYrQYTc" TargetMode="External"/><Relationship Id="rId756" Type="http://schemas.openxmlformats.org/officeDocument/2006/relationships/hyperlink" Target="https://talan.bank.gov.ua/get-user-certificate/J5325TcazI3Hfix24FE3" TargetMode="External"/><Relationship Id="rId1179" Type="http://schemas.openxmlformats.org/officeDocument/2006/relationships/hyperlink" Target="https://talan.bank.gov.ua/get-user-certificate/J5325-JE6poYBvoqxxk6" TargetMode="External"/><Relationship Id="rId1386" Type="http://schemas.openxmlformats.org/officeDocument/2006/relationships/hyperlink" Target="https://talan.bank.gov.ua/get-user-certificate/J532516i_u5QuIp0t-zE" TargetMode="External"/><Relationship Id="rId1593" Type="http://schemas.openxmlformats.org/officeDocument/2006/relationships/hyperlink" Target="https://talan.bank.gov.ua/get-user-certificate/J5325OaKNmFdoEXdqs8J" TargetMode="External"/><Relationship Id="rId2437" Type="http://schemas.openxmlformats.org/officeDocument/2006/relationships/hyperlink" Target="https://talan.bank.gov.ua/get-user-certificate/J5325DQwGYpY04NxEvvV" TargetMode="External"/><Relationship Id="rId2991" Type="http://schemas.openxmlformats.org/officeDocument/2006/relationships/hyperlink" Target="https://talan.bank.gov.ua/get-user-certificate/J5325FVwkjVOSEcU9lUB" TargetMode="External"/><Relationship Id="rId3835" Type="http://schemas.openxmlformats.org/officeDocument/2006/relationships/hyperlink" Target="https://talan.bank.gov.ua/get-user-certificate/J5325q3yNzOi9dymAauj" TargetMode="External"/><Relationship Id="rId409" Type="http://schemas.openxmlformats.org/officeDocument/2006/relationships/hyperlink" Target="https://talan.bank.gov.ua/get-user-certificate/J5325RDq3QDWH640B4Rg" TargetMode="External"/><Relationship Id="rId963" Type="http://schemas.openxmlformats.org/officeDocument/2006/relationships/hyperlink" Target="https://talan.bank.gov.ua/get-user-certificate/J5325Wo_Z-LpJCAqkIKF" TargetMode="External"/><Relationship Id="rId1039" Type="http://schemas.openxmlformats.org/officeDocument/2006/relationships/hyperlink" Target="https://talan.bank.gov.ua/get-user-certificate/J5325eBkp7UrDSbin4Ic" TargetMode="External"/><Relationship Id="rId1246" Type="http://schemas.openxmlformats.org/officeDocument/2006/relationships/hyperlink" Target="https://talan.bank.gov.ua/get-user-certificate/J5325AWXrZppP8fd2gRP" TargetMode="External"/><Relationship Id="rId2644" Type="http://schemas.openxmlformats.org/officeDocument/2006/relationships/hyperlink" Target="https://talan.bank.gov.ua/get-user-certificate/J5325VJFvEjR6r6PtzSf" TargetMode="External"/><Relationship Id="rId2851" Type="http://schemas.openxmlformats.org/officeDocument/2006/relationships/hyperlink" Target="https://talan.bank.gov.ua/get-user-certificate/J5325QfdrxaAyxQjF82p" TargetMode="External"/><Relationship Id="rId3902" Type="http://schemas.openxmlformats.org/officeDocument/2006/relationships/hyperlink" Target="https://talan.bank.gov.ua/get-user-certificate/J5325TK8eQDPqB10QOlQ" TargetMode="External"/><Relationship Id="rId92" Type="http://schemas.openxmlformats.org/officeDocument/2006/relationships/hyperlink" Target="https://talan.bank.gov.ua/get-user-certificate/J53251KyeBcGRRr01Z8R" TargetMode="External"/><Relationship Id="rId616" Type="http://schemas.openxmlformats.org/officeDocument/2006/relationships/hyperlink" Target="https://talan.bank.gov.ua/get-user-certificate/J5325n8IPyVm7NbfjYL1" TargetMode="External"/><Relationship Id="rId823" Type="http://schemas.openxmlformats.org/officeDocument/2006/relationships/hyperlink" Target="https://talan.bank.gov.ua/get-user-certificate/J5325bUL8_aJZ-XzSNVP" TargetMode="External"/><Relationship Id="rId1453" Type="http://schemas.openxmlformats.org/officeDocument/2006/relationships/hyperlink" Target="https://talan.bank.gov.ua/get-user-certificate/J5325Wi3Gu413Xcf8qWH" TargetMode="External"/><Relationship Id="rId1660" Type="http://schemas.openxmlformats.org/officeDocument/2006/relationships/hyperlink" Target="https://talan.bank.gov.ua/get-user-certificate/J5325GShlV6cLf_qRWKZ" TargetMode="External"/><Relationship Id="rId2504" Type="http://schemas.openxmlformats.org/officeDocument/2006/relationships/hyperlink" Target="https://talan.bank.gov.ua/get-user-certificate/J5325u91y0Gayd-G4ur7" TargetMode="External"/><Relationship Id="rId2711" Type="http://schemas.openxmlformats.org/officeDocument/2006/relationships/hyperlink" Target="https://talan.bank.gov.ua/get-user-certificate/J5325gDclhmMvvzTiYZ5" TargetMode="External"/><Relationship Id="rId1106" Type="http://schemas.openxmlformats.org/officeDocument/2006/relationships/hyperlink" Target="https://talan.bank.gov.ua/get-user-certificate/J5325QoU2_qoob3ft5_O" TargetMode="External"/><Relationship Id="rId1313" Type="http://schemas.openxmlformats.org/officeDocument/2006/relationships/hyperlink" Target="https://talan.bank.gov.ua/get-user-certificate/J532538TKrPovz4GcIi0" TargetMode="External"/><Relationship Id="rId1520" Type="http://schemas.openxmlformats.org/officeDocument/2006/relationships/hyperlink" Target="https://talan.bank.gov.ua/get-user-certificate/J53259QacuhFx94tlTeH" TargetMode="External"/><Relationship Id="rId3278" Type="http://schemas.openxmlformats.org/officeDocument/2006/relationships/hyperlink" Target="https://talan.bank.gov.ua/get-user-certificate/J5325DRUU0BD9bB6VrQY" TargetMode="External"/><Relationship Id="rId3485" Type="http://schemas.openxmlformats.org/officeDocument/2006/relationships/hyperlink" Target="https://talan.bank.gov.ua/get-user-certificate/J5325qu0HvQy3tCFWLbu" TargetMode="External"/><Relationship Id="rId3692" Type="http://schemas.openxmlformats.org/officeDocument/2006/relationships/hyperlink" Target="https://talan.bank.gov.ua/get-user-certificate/J5325N8Ck4KF7pOmhHrZ" TargetMode="External"/><Relationship Id="rId199" Type="http://schemas.openxmlformats.org/officeDocument/2006/relationships/hyperlink" Target="https://talan.bank.gov.ua/get-user-certificate/J5325vhWxsQJHVZOnUwX" TargetMode="External"/><Relationship Id="rId2087" Type="http://schemas.openxmlformats.org/officeDocument/2006/relationships/hyperlink" Target="https://talan.bank.gov.ua/get-user-certificate/J5325EHN-ujBpgRJIU7J" TargetMode="External"/><Relationship Id="rId2294" Type="http://schemas.openxmlformats.org/officeDocument/2006/relationships/hyperlink" Target="https://talan.bank.gov.ua/get-user-certificate/J5325LxCM54uWtfBQ8UP" TargetMode="External"/><Relationship Id="rId3138" Type="http://schemas.openxmlformats.org/officeDocument/2006/relationships/hyperlink" Target="https://talan.bank.gov.ua/get-user-certificate/J5325kMb4-qi_6S9kEN-" TargetMode="External"/><Relationship Id="rId3345" Type="http://schemas.openxmlformats.org/officeDocument/2006/relationships/hyperlink" Target="https://talan.bank.gov.ua/get-user-certificate/J5325WebVxEh1eqg_EcJ" TargetMode="External"/><Relationship Id="rId3552" Type="http://schemas.openxmlformats.org/officeDocument/2006/relationships/hyperlink" Target="https://talan.bank.gov.ua/get-user-certificate/J53258kZCsPcv685W1r7" TargetMode="External"/><Relationship Id="rId266" Type="http://schemas.openxmlformats.org/officeDocument/2006/relationships/hyperlink" Target="https://talan.bank.gov.ua/get-user-certificate/J5325FTUtXnWflrGNUKx" TargetMode="External"/><Relationship Id="rId473" Type="http://schemas.openxmlformats.org/officeDocument/2006/relationships/hyperlink" Target="https://talan.bank.gov.ua/get-user-certificate/J5325K9LyanWDmLCwjf6" TargetMode="External"/><Relationship Id="rId680" Type="http://schemas.openxmlformats.org/officeDocument/2006/relationships/hyperlink" Target="https://talan.bank.gov.ua/get-user-certificate/J5325uF_X7bv0Cwl8p7B" TargetMode="External"/><Relationship Id="rId2154" Type="http://schemas.openxmlformats.org/officeDocument/2006/relationships/hyperlink" Target="https://talan.bank.gov.ua/get-user-certificate/J5325Ba5ZbN9kFWkmRrX" TargetMode="External"/><Relationship Id="rId2361" Type="http://schemas.openxmlformats.org/officeDocument/2006/relationships/hyperlink" Target="https://talan.bank.gov.ua/get-user-certificate/J5325hnZqzq-RYFzLMrf" TargetMode="External"/><Relationship Id="rId3205" Type="http://schemas.openxmlformats.org/officeDocument/2006/relationships/hyperlink" Target="https://talan.bank.gov.ua/get-user-certificate/J5325bY_yuzlLVGsOe71" TargetMode="External"/><Relationship Id="rId3412" Type="http://schemas.openxmlformats.org/officeDocument/2006/relationships/hyperlink" Target="https://talan.bank.gov.ua/get-user-certificate/J5325nwRr1yvXl3Y1qrr" TargetMode="External"/><Relationship Id="rId126" Type="http://schemas.openxmlformats.org/officeDocument/2006/relationships/hyperlink" Target="https://talan.bank.gov.ua/get-user-certificate/J5325yAkfWb63wNlI5hC" TargetMode="External"/><Relationship Id="rId333" Type="http://schemas.openxmlformats.org/officeDocument/2006/relationships/hyperlink" Target="https://talan.bank.gov.ua/get-user-certificate/J5325P_UR5jB9YxyuFwe" TargetMode="External"/><Relationship Id="rId540" Type="http://schemas.openxmlformats.org/officeDocument/2006/relationships/hyperlink" Target="https://talan.bank.gov.ua/get-user-certificate/J5325o5JAlBhPnrfo3VC" TargetMode="External"/><Relationship Id="rId1170" Type="http://schemas.openxmlformats.org/officeDocument/2006/relationships/hyperlink" Target="https://talan.bank.gov.ua/get-user-certificate/J5325mfQ8qDGxU-UVHd0" TargetMode="External"/><Relationship Id="rId2014" Type="http://schemas.openxmlformats.org/officeDocument/2006/relationships/hyperlink" Target="https://talan.bank.gov.ua/get-user-certificate/J53255Th_UtDh4pUv4Td" TargetMode="External"/><Relationship Id="rId2221" Type="http://schemas.openxmlformats.org/officeDocument/2006/relationships/hyperlink" Target="https://talan.bank.gov.ua/get-user-certificate/J5325FKAQImw4K6K8SIU" TargetMode="External"/><Relationship Id="rId1030" Type="http://schemas.openxmlformats.org/officeDocument/2006/relationships/hyperlink" Target="https://talan.bank.gov.ua/get-user-certificate/J5325ix0cc2hvKq15LqC" TargetMode="External"/><Relationship Id="rId4186" Type="http://schemas.openxmlformats.org/officeDocument/2006/relationships/hyperlink" Target="https://talan.bank.gov.ua/get-user-certificate/TbxZWHMw6j4dnYeW7iwJ" TargetMode="External"/><Relationship Id="rId400" Type="http://schemas.openxmlformats.org/officeDocument/2006/relationships/hyperlink" Target="https://talan.bank.gov.ua/get-user-certificate/J5325HLtNpqdzW2sCV3V" TargetMode="External"/><Relationship Id="rId1987" Type="http://schemas.openxmlformats.org/officeDocument/2006/relationships/hyperlink" Target="https://talan.bank.gov.ua/get-user-certificate/J5325N94aL58EC2MK-K0" TargetMode="External"/><Relationship Id="rId1847" Type="http://schemas.openxmlformats.org/officeDocument/2006/relationships/hyperlink" Target="https://talan.bank.gov.ua/get-user-certificate/J5325wz9ApeLfuXGZSaF" TargetMode="External"/><Relationship Id="rId4046" Type="http://schemas.openxmlformats.org/officeDocument/2006/relationships/hyperlink" Target="https://talan.bank.gov.ua/get-user-certificate/J5325tge9HnJjwFa-U1J" TargetMode="External"/><Relationship Id="rId4253" Type="http://schemas.openxmlformats.org/officeDocument/2006/relationships/hyperlink" Target="https://talan.bank.gov.ua/get-user-certificate/CYWPHVgZeL8iQsAzpN42" TargetMode="External"/><Relationship Id="rId1707" Type="http://schemas.openxmlformats.org/officeDocument/2006/relationships/hyperlink" Target="https://talan.bank.gov.ua/get-user-certificate/J5325itL_Li7I-xAUTsU" TargetMode="External"/><Relationship Id="rId3062" Type="http://schemas.openxmlformats.org/officeDocument/2006/relationships/hyperlink" Target="https://talan.bank.gov.ua/get-user-certificate/J5325EFN-K3y6iNolx6n" TargetMode="External"/><Relationship Id="rId4113" Type="http://schemas.openxmlformats.org/officeDocument/2006/relationships/hyperlink" Target="https://talan.bank.gov.ua/get-user-certificate/J5325rjlHY0IKVUV57v3" TargetMode="External"/><Relationship Id="rId190" Type="http://schemas.openxmlformats.org/officeDocument/2006/relationships/hyperlink" Target="https://talan.bank.gov.ua/get-user-certificate/J5325kr2BjVlagccKg5q" TargetMode="External"/><Relationship Id="rId1914" Type="http://schemas.openxmlformats.org/officeDocument/2006/relationships/hyperlink" Target="https://talan.bank.gov.ua/get-user-certificate/J5325139xUUDCvJZNL0P" TargetMode="External"/><Relationship Id="rId3879" Type="http://schemas.openxmlformats.org/officeDocument/2006/relationships/hyperlink" Target="https://talan.bank.gov.ua/get-user-certificate/J5325DsChLPc3UZKWfRC" TargetMode="External"/><Relationship Id="rId2688" Type="http://schemas.openxmlformats.org/officeDocument/2006/relationships/hyperlink" Target="https://talan.bank.gov.ua/get-user-certificate/J5325h-k7FpVqpN7KLkI" TargetMode="External"/><Relationship Id="rId2895" Type="http://schemas.openxmlformats.org/officeDocument/2006/relationships/hyperlink" Target="https://talan.bank.gov.ua/get-user-certificate/J53257mPpzBSrdxhWkeG" TargetMode="External"/><Relationship Id="rId3739" Type="http://schemas.openxmlformats.org/officeDocument/2006/relationships/hyperlink" Target="https://talan.bank.gov.ua/get-user-certificate/J5325auUpNjNq8_7Ks5o" TargetMode="External"/><Relationship Id="rId3946" Type="http://schemas.openxmlformats.org/officeDocument/2006/relationships/hyperlink" Target="https://talan.bank.gov.ua/get-user-certificate/J5325zRpkHA3m7PZT87w" TargetMode="External"/><Relationship Id="rId867" Type="http://schemas.openxmlformats.org/officeDocument/2006/relationships/hyperlink" Target="https://talan.bank.gov.ua/get-user-certificate/J5325PvKHx6-22ceSzIm" TargetMode="External"/><Relationship Id="rId1497" Type="http://schemas.openxmlformats.org/officeDocument/2006/relationships/hyperlink" Target="https://talan.bank.gov.ua/get-user-certificate/J5325NIUKtYkhYbOVaz9" TargetMode="External"/><Relationship Id="rId2548" Type="http://schemas.openxmlformats.org/officeDocument/2006/relationships/hyperlink" Target="https://talan.bank.gov.ua/get-user-certificate/J5325x2Wx9wgds7EfFOG" TargetMode="External"/><Relationship Id="rId2755" Type="http://schemas.openxmlformats.org/officeDocument/2006/relationships/hyperlink" Target="https://talan.bank.gov.ua/get-user-certificate/J53254XMvL1rER17SsCn" TargetMode="External"/><Relationship Id="rId2962" Type="http://schemas.openxmlformats.org/officeDocument/2006/relationships/hyperlink" Target="https://talan.bank.gov.ua/get-user-certificate/J5325KnT7dR0WbXuv9el" TargetMode="External"/><Relationship Id="rId3806" Type="http://schemas.openxmlformats.org/officeDocument/2006/relationships/hyperlink" Target="https://talan.bank.gov.ua/get-user-certificate/J5325tfnuNcOYAgM0YR2" TargetMode="External"/><Relationship Id="rId727" Type="http://schemas.openxmlformats.org/officeDocument/2006/relationships/hyperlink" Target="https://talan.bank.gov.ua/get-user-certificate/J5325-43qiVjg261JKKd" TargetMode="External"/><Relationship Id="rId934" Type="http://schemas.openxmlformats.org/officeDocument/2006/relationships/hyperlink" Target="https://talan.bank.gov.ua/get-user-certificate/J5325-PzS4UWP2w0NIEd" TargetMode="External"/><Relationship Id="rId1357" Type="http://schemas.openxmlformats.org/officeDocument/2006/relationships/hyperlink" Target="https://talan.bank.gov.ua/get-user-certificate/J5325EpXh-78hUSWII6x" TargetMode="External"/><Relationship Id="rId1564" Type="http://schemas.openxmlformats.org/officeDocument/2006/relationships/hyperlink" Target="https://talan.bank.gov.ua/get-user-certificate/J5325ikluWPzdi1aeEiv" TargetMode="External"/><Relationship Id="rId1771" Type="http://schemas.openxmlformats.org/officeDocument/2006/relationships/hyperlink" Target="https://talan.bank.gov.ua/get-user-certificate/J5325zw6_PUBfFlDkiJB" TargetMode="External"/><Relationship Id="rId2408" Type="http://schemas.openxmlformats.org/officeDocument/2006/relationships/hyperlink" Target="https://talan.bank.gov.ua/get-user-certificate/J5325qrffIr001heSIty" TargetMode="External"/><Relationship Id="rId2615" Type="http://schemas.openxmlformats.org/officeDocument/2006/relationships/hyperlink" Target="https://talan.bank.gov.ua/get-user-certificate/J5325lZQ0nS6L21EWg1J" TargetMode="External"/><Relationship Id="rId2822" Type="http://schemas.openxmlformats.org/officeDocument/2006/relationships/hyperlink" Target="https://talan.bank.gov.ua/get-user-certificate/J53257IO4C-0FLCImcBl" TargetMode="External"/><Relationship Id="rId63" Type="http://schemas.openxmlformats.org/officeDocument/2006/relationships/hyperlink" Target="https://talan.bank.gov.ua/get-user-certificate/J5325x8onONi-Ict9TBq" TargetMode="External"/><Relationship Id="rId1217" Type="http://schemas.openxmlformats.org/officeDocument/2006/relationships/hyperlink" Target="https://talan.bank.gov.ua/get-user-certificate/J53254kOuZpiMNLwUHnW" TargetMode="External"/><Relationship Id="rId1424" Type="http://schemas.openxmlformats.org/officeDocument/2006/relationships/hyperlink" Target="https://talan.bank.gov.ua/get-user-certificate/J5325HvpE1H7IwSs8sHb" TargetMode="External"/><Relationship Id="rId1631" Type="http://schemas.openxmlformats.org/officeDocument/2006/relationships/hyperlink" Target="https://talan.bank.gov.ua/get-user-certificate/J5325wSaLYiUvcH-M_9j" TargetMode="External"/><Relationship Id="rId3389" Type="http://schemas.openxmlformats.org/officeDocument/2006/relationships/hyperlink" Target="https://talan.bank.gov.ua/get-user-certificate/J53256QrM8KKXimvLSUj" TargetMode="External"/><Relationship Id="rId3596" Type="http://schemas.openxmlformats.org/officeDocument/2006/relationships/hyperlink" Target="https://talan.bank.gov.ua/get-user-certificate/J5325XMh8PHzR5Unff2C" TargetMode="External"/><Relationship Id="rId2198" Type="http://schemas.openxmlformats.org/officeDocument/2006/relationships/hyperlink" Target="https://talan.bank.gov.ua/get-user-certificate/J5325oVCX5Rs_Pk7PCcm" TargetMode="External"/><Relationship Id="rId3249" Type="http://schemas.openxmlformats.org/officeDocument/2006/relationships/hyperlink" Target="https://talan.bank.gov.ua/get-user-certificate/J5325f958HbbCI-wM-uC" TargetMode="External"/><Relationship Id="rId3456" Type="http://schemas.openxmlformats.org/officeDocument/2006/relationships/hyperlink" Target="https://talan.bank.gov.ua/get-user-certificate/J5325TVm9NjPrd32Ayij" TargetMode="External"/><Relationship Id="rId377" Type="http://schemas.openxmlformats.org/officeDocument/2006/relationships/hyperlink" Target="https://talan.bank.gov.ua/get-user-certificate/J5325k5KR2VFilY1CSdW" TargetMode="External"/><Relationship Id="rId584" Type="http://schemas.openxmlformats.org/officeDocument/2006/relationships/hyperlink" Target="https://talan.bank.gov.ua/get-user-certificate/J5325YvN8L1J4dzgGl2Z" TargetMode="External"/><Relationship Id="rId2058" Type="http://schemas.openxmlformats.org/officeDocument/2006/relationships/hyperlink" Target="https://talan.bank.gov.ua/get-user-certificate/J5325JIZtjYK4tkRDpp3" TargetMode="External"/><Relationship Id="rId2265" Type="http://schemas.openxmlformats.org/officeDocument/2006/relationships/hyperlink" Target="https://talan.bank.gov.ua/get-user-certificate/J5325lvEGbeKCrHaDFeb" TargetMode="External"/><Relationship Id="rId3109" Type="http://schemas.openxmlformats.org/officeDocument/2006/relationships/hyperlink" Target="https://talan.bank.gov.ua/get-user-certificate/J5325ch83BcMiavSYgX3" TargetMode="External"/><Relationship Id="rId3663" Type="http://schemas.openxmlformats.org/officeDocument/2006/relationships/hyperlink" Target="https://talan.bank.gov.ua/get-user-certificate/J5325W-aEp9Jtys43ILS" TargetMode="External"/><Relationship Id="rId3870" Type="http://schemas.openxmlformats.org/officeDocument/2006/relationships/hyperlink" Target="https://talan.bank.gov.ua/get-user-certificate/J5325BQO8rVKJJfwzazG" TargetMode="External"/><Relationship Id="rId237" Type="http://schemas.openxmlformats.org/officeDocument/2006/relationships/hyperlink" Target="https://talan.bank.gov.ua/get-user-certificate/J5325Qk0SrX5_40JPZZ4" TargetMode="External"/><Relationship Id="rId791" Type="http://schemas.openxmlformats.org/officeDocument/2006/relationships/hyperlink" Target="https://talan.bank.gov.ua/get-user-certificate/J5325AuZ5SzhhjeS6mPn" TargetMode="External"/><Relationship Id="rId1074" Type="http://schemas.openxmlformats.org/officeDocument/2006/relationships/hyperlink" Target="https://talan.bank.gov.ua/get-user-certificate/J5325gPkNdx_3CUC_KGX" TargetMode="External"/><Relationship Id="rId2472" Type="http://schemas.openxmlformats.org/officeDocument/2006/relationships/hyperlink" Target="https://talan.bank.gov.ua/get-user-certificate/J5325DcKrw4n80OE6WpD" TargetMode="External"/><Relationship Id="rId3316" Type="http://schemas.openxmlformats.org/officeDocument/2006/relationships/hyperlink" Target="https://talan.bank.gov.ua/get-user-certificate/J5325CyOYMjsb-NIQP0v" TargetMode="External"/><Relationship Id="rId3523" Type="http://schemas.openxmlformats.org/officeDocument/2006/relationships/hyperlink" Target="https://talan.bank.gov.ua/get-user-certificate/J5325-TkzPVDIoup9WES" TargetMode="External"/><Relationship Id="rId3730" Type="http://schemas.openxmlformats.org/officeDocument/2006/relationships/hyperlink" Target="https://talan.bank.gov.ua/get-user-certificate/J5325zoZvrHJYisknXzT" TargetMode="External"/><Relationship Id="rId444" Type="http://schemas.openxmlformats.org/officeDocument/2006/relationships/hyperlink" Target="https://talan.bank.gov.ua/get-user-certificate/J5325fGKbYCSrTDo9LDz" TargetMode="External"/><Relationship Id="rId651" Type="http://schemas.openxmlformats.org/officeDocument/2006/relationships/hyperlink" Target="https://talan.bank.gov.ua/get-user-certificate/J5325gC9zhMYegYjIer-" TargetMode="External"/><Relationship Id="rId1281" Type="http://schemas.openxmlformats.org/officeDocument/2006/relationships/hyperlink" Target="https://talan.bank.gov.ua/get-user-certificate/J5325O8ub49SOxiaX5-C" TargetMode="External"/><Relationship Id="rId2125" Type="http://schemas.openxmlformats.org/officeDocument/2006/relationships/hyperlink" Target="https://talan.bank.gov.ua/get-user-certificate/J5325KdHhxhdqGultn-t" TargetMode="External"/><Relationship Id="rId2332" Type="http://schemas.openxmlformats.org/officeDocument/2006/relationships/hyperlink" Target="https://talan.bank.gov.ua/get-user-certificate/J5325j2_8asE2QROYoao" TargetMode="External"/><Relationship Id="rId304" Type="http://schemas.openxmlformats.org/officeDocument/2006/relationships/hyperlink" Target="https://talan.bank.gov.ua/get-user-certificate/J5325fi_RKcDxUGq2xL5" TargetMode="External"/><Relationship Id="rId511" Type="http://schemas.openxmlformats.org/officeDocument/2006/relationships/hyperlink" Target="https://talan.bank.gov.ua/get-user-certificate/J532572p5GaC4LFqIQxv" TargetMode="External"/><Relationship Id="rId1141" Type="http://schemas.openxmlformats.org/officeDocument/2006/relationships/hyperlink" Target="https://talan.bank.gov.ua/get-user-certificate/J53253Vvwrwjtylrctn6" TargetMode="External"/><Relationship Id="rId1001" Type="http://schemas.openxmlformats.org/officeDocument/2006/relationships/hyperlink" Target="https://talan.bank.gov.ua/get-user-certificate/J5325NS9LN3UnZ9Et4WH" TargetMode="External"/><Relationship Id="rId4157" Type="http://schemas.openxmlformats.org/officeDocument/2006/relationships/hyperlink" Target="https://talan.bank.gov.ua/get-user-certificate/J53252Eyas2DI8qxavKs" TargetMode="External"/><Relationship Id="rId1958" Type="http://schemas.openxmlformats.org/officeDocument/2006/relationships/hyperlink" Target="https://talan.bank.gov.ua/get-user-certificate/J5325DnWZ0OuvqaMoUhE" TargetMode="External"/><Relationship Id="rId3173" Type="http://schemas.openxmlformats.org/officeDocument/2006/relationships/hyperlink" Target="https://talan.bank.gov.ua/get-user-certificate/J53258fwHZvJnVNDYO57" TargetMode="External"/><Relationship Id="rId3380" Type="http://schemas.openxmlformats.org/officeDocument/2006/relationships/hyperlink" Target="https://talan.bank.gov.ua/get-user-certificate/J5325oWNgezQduBE7zBp" TargetMode="External"/><Relationship Id="rId4017" Type="http://schemas.openxmlformats.org/officeDocument/2006/relationships/hyperlink" Target="https://talan.bank.gov.ua/get-user-certificate/J53254aNrAp66kPs3eat" TargetMode="External"/><Relationship Id="rId4224" Type="http://schemas.openxmlformats.org/officeDocument/2006/relationships/hyperlink" Target="https://talan.bank.gov.ua/get-user-certificate/CYWPHnNl8OZm3peSR9WE" TargetMode="External"/><Relationship Id="rId1818" Type="http://schemas.openxmlformats.org/officeDocument/2006/relationships/hyperlink" Target="https://talan.bank.gov.ua/get-user-certificate/J5325uZO1q9yQLb249xo" TargetMode="External"/><Relationship Id="rId3033" Type="http://schemas.openxmlformats.org/officeDocument/2006/relationships/hyperlink" Target="https://talan.bank.gov.ua/get-user-certificate/J5325DvT1DN6m-Y-ZihU" TargetMode="External"/><Relationship Id="rId3240" Type="http://schemas.openxmlformats.org/officeDocument/2006/relationships/hyperlink" Target="https://talan.bank.gov.ua/get-user-certificate/J5325t0Zg84I5_DP9qx1" TargetMode="External"/><Relationship Id="rId161" Type="http://schemas.openxmlformats.org/officeDocument/2006/relationships/hyperlink" Target="https://talan.bank.gov.ua/get-user-certificate/J53256XF1UPQPHsjCcS_" TargetMode="External"/><Relationship Id="rId2799" Type="http://schemas.openxmlformats.org/officeDocument/2006/relationships/hyperlink" Target="https://talan.bank.gov.ua/get-user-certificate/J5325nrUxNk-894KdTcP" TargetMode="External"/><Relationship Id="rId3100" Type="http://schemas.openxmlformats.org/officeDocument/2006/relationships/hyperlink" Target="https://talan.bank.gov.ua/get-user-certificate/J53252Ub-8HkXV5EQFIo" TargetMode="External"/><Relationship Id="rId978" Type="http://schemas.openxmlformats.org/officeDocument/2006/relationships/hyperlink" Target="https://talan.bank.gov.ua/get-user-certificate/J5325pClGER2qsmBF_lW" TargetMode="External"/><Relationship Id="rId2659" Type="http://schemas.openxmlformats.org/officeDocument/2006/relationships/hyperlink" Target="https://talan.bank.gov.ua/get-user-certificate/J5325eXfBi2-nBk8uORQ" TargetMode="External"/><Relationship Id="rId2866" Type="http://schemas.openxmlformats.org/officeDocument/2006/relationships/hyperlink" Target="https://talan.bank.gov.ua/get-user-certificate/J5325PygYv-YImWdmk8V" TargetMode="External"/><Relationship Id="rId3917" Type="http://schemas.openxmlformats.org/officeDocument/2006/relationships/hyperlink" Target="https://talan.bank.gov.ua/get-user-certificate/J5325t0LJlacA403Wp9p" TargetMode="External"/><Relationship Id="rId838" Type="http://schemas.openxmlformats.org/officeDocument/2006/relationships/hyperlink" Target="https://talan.bank.gov.ua/get-user-certificate/J5325yRFhDc_PQN8uh5x" TargetMode="External"/><Relationship Id="rId1468" Type="http://schemas.openxmlformats.org/officeDocument/2006/relationships/hyperlink" Target="https://talan.bank.gov.ua/get-user-certificate/J5325WfBOvyjnAniRad4" TargetMode="External"/><Relationship Id="rId1675" Type="http://schemas.openxmlformats.org/officeDocument/2006/relationships/hyperlink" Target="https://talan.bank.gov.ua/get-user-certificate/J5325gdEqTdeV10cLed0" TargetMode="External"/><Relationship Id="rId1882" Type="http://schemas.openxmlformats.org/officeDocument/2006/relationships/hyperlink" Target="https://talan.bank.gov.ua/get-user-certificate/J5325mh9VFXZkzqyRmn4" TargetMode="External"/><Relationship Id="rId2519" Type="http://schemas.openxmlformats.org/officeDocument/2006/relationships/hyperlink" Target="https://talan.bank.gov.ua/get-user-certificate/J5325rXxD8EQEjMlwko9" TargetMode="External"/><Relationship Id="rId2726" Type="http://schemas.openxmlformats.org/officeDocument/2006/relationships/hyperlink" Target="https://talan.bank.gov.ua/get-user-certificate/J5325xYEL2upOr5fzljZ" TargetMode="External"/><Relationship Id="rId4081" Type="http://schemas.openxmlformats.org/officeDocument/2006/relationships/hyperlink" Target="https://talan.bank.gov.ua/get-user-certificate/J5325-hRCnkexmFZ6MVp" TargetMode="External"/><Relationship Id="rId1328" Type="http://schemas.openxmlformats.org/officeDocument/2006/relationships/hyperlink" Target="https://talan.bank.gov.ua/get-user-certificate/J5325tnxvr3EsWymZey-" TargetMode="External"/><Relationship Id="rId1535" Type="http://schemas.openxmlformats.org/officeDocument/2006/relationships/hyperlink" Target="https://talan.bank.gov.ua/get-user-certificate/J5325CGMB838Bo4iKvcD" TargetMode="External"/><Relationship Id="rId2933" Type="http://schemas.openxmlformats.org/officeDocument/2006/relationships/hyperlink" Target="https://talan.bank.gov.ua/get-user-certificate/J532544H8voNZyTFLGdw" TargetMode="External"/><Relationship Id="rId905" Type="http://schemas.openxmlformats.org/officeDocument/2006/relationships/hyperlink" Target="https://talan.bank.gov.ua/get-user-certificate/J5325eA3CeSGuQHiWSE_" TargetMode="External"/><Relationship Id="rId1742" Type="http://schemas.openxmlformats.org/officeDocument/2006/relationships/hyperlink" Target="https://talan.bank.gov.ua/get-user-certificate/J53256QV1AKsK-2M9SaP" TargetMode="External"/><Relationship Id="rId34" Type="http://schemas.openxmlformats.org/officeDocument/2006/relationships/hyperlink" Target="https://talan.bank.gov.ua/get-user-certificate/J5325cKeg5CLTRZxZ0mj" TargetMode="External"/><Relationship Id="rId1602" Type="http://schemas.openxmlformats.org/officeDocument/2006/relationships/hyperlink" Target="https://talan.bank.gov.ua/get-user-certificate/J5325KgY3EHRol7InhpD" TargetMode="External"/><Relationship Id="rId3567" Type="http://schemas.openxmlformats.org/officeDocument/2006/relationships/hyperlink" Target="https://talan.bank.gov.ua/get-user-certificate/J5325k2q6fCOtLW_y-6U" TargetMode="External"/><Relationship Id="rId3774" Type="http://schemas.openxmlformats.org/officeDocument/2006/relationships/hyperlink" Target="https://talan.bank.gov.ua/get-user-certificate/J5325t_lIoKbVe-9qwUr" TargetMode="External"/><Relationship Id="rId3981" Type="http://schemas.openxmlformats.org/officeDocument/2006/relationships/hyperlink" Target="https://talan.bank.gov.ua/get-user-certificate/J53257nE_LK1sX__PX6O" TargetMode="External"/><Relationship Id="rId488" Type="http://schemas.openxmlformats.org/officeDocument/2006/relationships/hyperlink" Target="https://talan.bank.gov.ua/get-user-certificate/J5325vJcXXkXn1caUeKv" TargetMode="External"/><Relationship Id="rId695" Type="http://schemas.openxmlformats.org/officeDocument/2006/relationships/hyperlink" Target="https://talan.bank.gov.ua/get-user-certificate/J5325ovuOcPc_kLyp7b2" TargetMode="External"/><Relationship Id="rId2169" Type="http://schemas.openxmlformats.org/officeDocument/2006/relationships/hyperlink" Target="https://talan.bank.gov.ua/get-user-certificate/J53250bjU_kc0hNO0cnR" TargetMode="External"/><Relationship Id="rId2376" Type="http://schemas.openxmlformats.org/officeDocument/2006/relationships/hyperlink" Target="https://talan.bank.gov.ua/get-user-certificate/J53254BH-8uw9UCVwxPU" TargetMode="External"/><Relationship Id="rId2583" Type="http://schemas.openxmlformats.org/officeDocument/2006/relationships/hyperlink" Target="https://talan.bank.gov.ua/get-user-certificate/J5325MzjWrKX2kZjak3u" TargetMode="External"/><Relationship Id="rId2790" Type="http://schemas.openxmlformats.org/officeDocument/2006/relationships/hyperlink" Target="https://talan.bank.gov.ua/get-user-certificate/J5325Obsyaw8Iyxzysnl" TargetMode="External"/><Relationship Id="rId3427" Type="http://schemas.openxmlformats.org/officeDocument/2006/relationships/hyperlink" Target="https://talan.bank.gov.ua/get-user-certificate/J532512zPUd8ewLWO12w" TargetMode="External"/><Relationship Id="rId3634" Type="http://schemas.openxmlformats.org/officeDocument/2006/relationships/hyperlink" Target="https://talan.bank.gov.ua/get-user-certificate/J5325FvwlsIb1HHpWZ46" TargetMode="External"/><Relationship Id="rId3841" Type="http://schemas.openxmlformats.org/officeDocument/2006/relationships/hyperlink" Target="https://talan.bank.gov.ua/get-user-certificate/J5325M9XNS0MEyC7_CHH" TargetMode="External"/><Relationship Id="rId348" Type="http://schemas.openxmlformats.org/officeDocument/2006/relationships/hyperlink" Target="https://talan.bank.gov.ua/get-user-certificate/J5325UK1VO01A3TI8cDE" TargetMode="External"/><Relationship Id="rId555" Type="http://schemas.openxmlformats.org/officeDocument/2006/relationships/hyperlink" Target="https://talan.bank.gov.ua/get-user-certificate/J53255f4Gmo1FcPxZ1E8" TargetMode="External"/><Relationship Id="rId762" Type="http://schemas.openxmlformats.org/officeDocument/2006/relationships/hyperlink" Target="https://talan.bank.gov.ua/get-user-certificate/J5325DirapSI-8AecrgT" TargetMode="External"/><Relationship Id="rId1185" Type="http://schemas.openxmlformats.org/officeDocument/2006/relationships/hyperlink" Target="https://talan.bank.gov.ua/get-user-certificate/J5325UZNCg5E3AO6CrVq" TargetMode="External"/><Relationship Id="rId1392" Type="http://schemas.openxmlformats.org/officeDocument/2006/relationships/hyperlink" Target="https://talan.bank.gov.ua/get-user-certificate/J5325Qt-gN4eeHs0r2hH" TargetMode="External"/><Relationship Id="rId2029" Type="http://schemas.openxmlformats.org/officeDocument/2006/relationships/hyperlink" Target="https://talan.bank.gov.ua/get-user-certificate/J5325wsJVFb6bwVILBDY" TargetMode="External"/><Relationship Id="rId2236" Type="http://schemas.openxmlformats.org/officeDocument/2006/relationships/hyperlink" Target="https://talan.bank.gov.ua/get-user-certificate/J5325g3RGiLgLdee1YIo" TargetMode="External"/><Relationship Id="rId2443" Type="http://schemas.openxmlformats.org/officeDocument/2006/relationships/hyperlink" Target="https://talan.bank.gov.ua/get-user-certificate/J5325v6ysQY2B97gbotp" TargetMode="External"/><Relationship Id="rId2650" Type="http://schemas.openxmlformats.org/officeDocument/2006/relationships/hyperlink" Target="https://talan.bank.gov.ua/get-user-certificate/J53250l0qVkMYkg7jnwT" TargetMode="External"/><Relationship Id="rId3701" Type="http://schemas.openxmlformats.org/officeDocument/2006/relationships/hyperlink" Target="https://talan.bank.gov.ua/get-user-certificate/J53253KrIq0B4Blh7U4C" TargetMode="External"/><Relationship Id="rId208" Type="http://schemas.openxmlformats.org/officeDocument/2006/relationships/hyperlink" Target="https://talan.bank.gov.ua/get-user-certificate/J5325nPBIc0oy2WEXkUD" TargetMode="External"/><Relationship Id="rId415" Type="http://schemas.openxmlformats.org/officeDocument/2006/relationships/hyperlink" Target="https://talan.bank.gov.ua/get-user-certificate/J5325CZV97g8ioJEAX2L" TargetMode="External"/><Relationship Id="rId622" Type="http://schemas.openxmlformats.org/officeDocument/2006/relationships/hyperlink" Target="https://talan.bank.gov.ua/get-user-certificate/J5325yx_RSj8co5K2KIb" TargetMode="External"/><Relationship Id="rId1045" Type="http://schemas.openxmlformats.org/officeDocument/2006/relationships/hyperlink" Target="https://talan.bank.gov.ua/get-user-certificate/J5325zjIkmjwm_Kaae5N" TargetMode="External"/><Relationship Id="rId1252" Type="http://schemas.openxmlformats.org/officeDocument/2006/relationships/hyperlink" Target="https://talan.bank.gov.ua/get-user-certificate/J5325jMbgSBeLgfHZAOs" TargetMode="External"/><Relationship Id="rId2303" Type="http://schemas.openxmlformats.org/officeDocument/2006/relationships/hyperlink" Target="https://talan.bank.gov.ua/get-user-certificate/J5325B1W_UOC4P0CPLjJ" TargetMode="External"/><Relationship Id="rId2510" Type="http://schemas.openxmlformats.org/officeDocument/2006/relationships/hyperlink" Target="https://talan.bank.gov.ua/get-user-certificate/J5325M518QQqaLkxllAJ" TargetMode="External"/><Relationship Id="rId1112" Type="http://schemas.openxmlformats.org/officeDocument/2006/relationships/hyperlink" Target="https://talan.bank.gov.ua/get-user-certificate/J5325JLcj9m8lKzYXDgD" TargetMode="External"/><Relationship Id="rId3077" Type="http://schemas.openxmlformats.org/officeDocument/2006/relationships/hyperlink" Target="https://talan.bank.gov.ua/get-user-certificate/J5325uIyKAaqgLxiXgq3" TargetMode="External"/><Relationship Id="rId3284" Type="http://schemas.openxmlformats.org/officeDocument/2006/relationships/hyperlink" Target="https://talan.bank.gov.ua/get-user-certificate/J53258Swum9Da_Hj-QZz" TargetMode="External"/><Relationship Id="rId4128" Type="http://schemas.openxmlformats.org/officeDocument/2006/relationships/hyperlink" Target="https://talan.bank.gov.ua/get-user-certificate/J532531sdqpgfTIpioK7" TargetMode="External"/><Relationship Id="rId1929" Type="http://schemas.openxmlformats.org/officeDocument/2006/relationships/hyperlink" Target="https://talan.bank.gov.ua/get-user-certificate/J5325Jk5LQerVHaRsQV7" TargetMode="External"/><Relationship Id="rId2093" Type="http://schemas.openxmlformats.org/officeDocument/2006/relationships/hyperlink" Target="https://talan.bank.gov.ua/get-user-certificate/J5325yvQcbbGt9Ob0eUk" TargetMode="External"/><Relationship Id="rId3491" Type="http://schemas.openxmlformats.org/officeDocument/2006/relationships/hyperlink" Target="https://talan.bank.gov.ua/get-user-certificate/J5325AstNYXmS3zSxniP" TargetMode="External"/><Relationship Id="rId3144" Type="http://schemas.openxmlformats.org/officeDocument/2006/relationships/hyperlink" Target="https://talan.bank.gov.ua/get-user-certificate/J53256gcG_f8pDuHZLIi" TargetMode="External"/><Relationship Id="rId3351" Type="http://schemas.openxmlformats.org/officeDocument/2006/relationships/hyperlink" Target="https://talan.bank.gov.ua/get-user-certificate/J5325IWCLTkTBwu_djvX" TargetMode="External"/><Relationship Id="rId272" Type="http://schemas.openxmlformats.org/officeDocument/2006/relationships/hyperlink" Target="https://talan.bank.gov.ua/get-user-certificate/J53251jDEj1dTmGXfnUn" TargetMode="External"/><Relationship Id="rId2160" Type="http://schemas.openxmlformats.org/officeDocument/2006/relationships/hyperlink" Target="https://talan.bank.gov.ua/get-user-certificate/J5325GgLYHTWcQApsoS6" TargetMode="External"/><Relationship Id="rId3004" Type="http://schemas.openxmlformats.org/officeDocument/2006/relationships/hyperlink" Target="https://talan.bank.gov.ua/get-user-certificate/J5325iu20i2W2UabhyjI" TargetMode="External"/><Relationship Id="rId3211" Type="http://schemas.openxmlformats.org/officeDocument/2006/relationships/hyperlink" Target="https://talan.bank.gov.ua/get-user-certificate/J5325EWgZd5KjXc6EkCT" TargetMode="External"/><Relationship Id="rId132" Type="http://schemas.openxmlformats.org/officeDocument/2006/relationships/hyperlink" Target="https://talan.bank.gov.ua/get-user-certificate/J5325EFqDkuDOzUHqeyZ" TargetMode="External"/><Relationship Id="rId2020" Type="http://schemas.openxmlformats.org/officeDocument/2006/relationships/hyperlink" Target="https://talan.bank.gov.ua/get-user-certificate/J5325W5QL9QZ5szC22CX" TargetMode="External"/><Relationship Id="rId1579" Type="http://schemas.openxmlformats.org/officeDocument/2006/relationships/hyperlink" Target="https://talan.bank.gov.ua/get-user-certificate/J5325bMnuAMNt-2MJKVI" TargetMode="External"/><Relationship Id="rId2977" Type="http://schemas.openxmlformats.org/officeDocument/2006/relationships/hyperlink" Target="https://talan.bank.gov.ua/get-user-certificate/J5325vL7X70KD65hbj2O" TargetMode="External"/><Relationship Id="rId4192" Type="http://schemas.openxmlformats.org/officeDocument/2006/relationships/hyperlink" Target="https://talan.bank.gov.ua/get-user-certificate/TbxZWqgLu84mGQq9mttD" TargetMode="External"/><Relationship Id="rId949" Type="http://schemas.openxmlformats.org/officeDocument/2006/relationships/hyperlink" Target="https://talan.bank.gov.ua/get-user-certificate/J5325S-mBWXLrv3DRN0F" TargetMode="External"/><Relationship Id="rId1786" Type="http://schemas.openxmlformats.org/officeDocument/2006/relationships/hyperlink" Target="https://talan.bank.gov.ua/get-user-certificate/J5325mf6FRmh7dy9Aic5" TargetMode="External"/><Relationship Id="rId1993" Type="http://schemas.openxmlformats.org/officeDocument/2006/relationships/hyperlink" Target="https://talan.bank.gov.ua/get-user-certificate/J5325iW5NLJTQgihZI3l" TargetMode="External"/><Relationship Id="rId2837" Type="http://schemas.openxmlformats.org/officeDocument/2006/relationships/hyperlink" Target="https://talan.bank.gov.ua/get-user-certificate/J5325eaf-OXQpk3h-_PN" TargetMode="External"/><Relationship Id="rId4052" Type="http://schemas.openxmlformats.org/officeDocument/2006/relationships/hyperlink" Target="https://talan.bank.gov.ua/get-user-certificate/J5325RG4OI-O-5FKXq7S" TargetMode="External"/><Relationship Id="rId78" Type="http://schemas.openxmlformats.org/officeDocument/2006/relationships/hyperlink" Target="https://talan.bank.gov.ua/get-user-certificate/J5325ZrUxCar-f_BxbCv" TargetMode="External"/><Relationship Id="rId809" Type="http://schemas.openxmlformats.org/officeDocument/2006/relationships/hyperlink" Target="https://talan.bank.gov.ua/get-user-certificate/J5325qYmql43hub34Y7p" TargetMode="External"/><Relationship Id="rId1439" Type="http://schemas.openxmlformats.org/officeDocument/2006/relationships/hyperlink" Target="https://talan.bank.gov.ua/get-user-certificate/J5325HPXhLNMsVX7Y7aJ" TargetMode="External"/><Relationship Id="rId1646" Type="http://schemas.openxmlformats.org/officeDocument/2006/relationships/hyperlink" Target="https://talan.bank.gov.ua/get-user-certificate/J5325cT-9QbyIWgkqdMy" TargetMode="External"/><Relationship Id="rId1853" Type="http://schemas.openxmlformats.org/officeDocument/2006/relationships/hyperlink" Target="https://talan.bank.gov.ua/get-user-certificate/J53257Ydz6YMCYfTShmN" TargetMode="External"/><Relationship Id="rId2904" Type="http://schemas.openxmlformats.org/officeDocument/2006/relationships/hyperlink" Target="https://talan.bank.gov.ua/get-user-certificate/J5325j9imPsokhbaQ8Qa" TargetMode="External"/><Relationship Id="rId1506" Type="http://schemas.openxmlformats.org/officeDocument/2006/relationships/hyperlink" Target="https://talan.bank.gov.ua/get-user-certificate/J5325mlOlmyoNdDcvhNC" TargetMode="External"/><Relationship Id="rId1713" Type="http://schemas.openxmlformats.org/officeDocument/2006/relationships/hyperlink" Target="https://talan.bank.gov.ua/get-user-certificate/J5325xfcQK8VmuaKfPlV" TargetMode="External"/><Relationship Id="rId1920" Type="http://schemas.openxmlformats.org/officeDocument/2006/relationships/hyperlink" Target="https://talan.bank.gov.ua/get-user-certificate/J5325WgBV8TNVBYRjYno" TargetMode="External"/><Relationship Id="rId3678" Type="http://schemas.openxmlformats.org/officeDocument/2006/relationships/hyperlink" Target="https://talan.bank.gov.ua/get-user-certificate/J5325QWuqXn9CaRu09D7" TargetMode="External"/><Relationship Id="rId3885" Type="http://schemas.openxmlformats.org/officeDocument/2006/relationships/hyperlink" Target="https://talan.bank.gov.ua/get-user-certificate/J5325_01BH0yIgJ3-zVS" TargetMode="External"/><Relationship Id="rId599" Type="http://schemas.openxmlformats.org/officeDocument/2006/relationships/hyperlink" Target="https://talan.bank.gov.ua/get-user-certificate/J53257zpk25aAR8ARGif" TargetMode="External"/><Relationship Id="rId2487" Type="http://schemas.openxmlformats.org/officeDocument/2006/relationships/hyperlink" Target="https://talan.bank.gov.ua/get-user-certificate/J5325t4B1iztrA0Bcsjy" TargetMode="External"/><Relationship Id="rId2694" Type="http://schemas.openxmlformats.org/officeDocument/2006/relationships/hyperlink" Target="https://talan.bank.gov.ua/get-user-certificate/J5325tLFvD95FUw89Yah" TargetMode="External"/><Relationship Id="rId3538" Type="http://schemas.openxmlformats.org/officeDocument/2006/relationships/hyperlink" Target="https://talan.bank.gov.ua/get-user-certificate/J5325usTepfD8Xg48I7s" TargetMode="External"/><Relationship Id="rId3745" Type="http://schemas.openxmlformats.org/officeDocument/2006/relationships/hyperlink" Target="https://talan.bank.gov.ua/get-user-certificate/J5325Bg5Cc7JmmU3gBam" TargetMode="External"/><Relationship Id="rId459" Type="http://schemas.openxmlformats.org/officeDocument/2006/relationships/hyperlink" Target="https://talan.bank.gov.ua/get-user-certificate/J5325Rb8WylTjr2gpA18" TargetMode="External"/><Relationship Id="rId666" Type="http://schemas.openxmlformats.org/officeDocument/2006/relationships/hyperlink" Target="https://talan.bank.gov.ua/get-user-certificate/J5325oEUTjMNsCXZqXdy" TargetMode="External"/><Relationship Id="rId873" Type="http://schemas.openxmlformats.org/officeDocument/2006/relationships/hyperlink" Target="https://talan.bank.gov.ua/get-user-certificate/J5325shlCNzVeO1WQuN-" TargetMode="External"/><Relationship Id="rId1089" Type="http://schemas.openxmlformats.org/officeDocument/2006/relationships/hyperlink" Target="https://talan.bank.gov.ua/get-user-certificate/J5325joDOfeHYBRllu_m" TargetMode="External"/><Relationship Id="rId1296" Type="http://schemas.openxmlformats.org/officeDocument/2006/relationships/hyperlink" Target="https://talan.bank.gov.ua/get-user-certificate/J5325tBZWUUvKX4_Toit" TargetMode="External"/><Relationship Id="rId2347" Type="http://schemas.openxmlformats.org/officeDocument/2006/relationships/hyperlink" Target="https://talan.bank.gov.ua/get-user-certificate/J5325HMpM0lTE6Z14HfS" TargetMode="External"/><Relationship Id="rId2554" Type="http://schemas.openxmlformats.org/officeDocument/2006/relationships/hyperlink" Target="https://talan.bank.gov.ua/get-user-certificate/J53255JLJNxf4zxdLdoD" TargetMode="External"/><Relationship Id="rId3952" Type="http://schemas.openxmlformats.org/officeDocument/2006/relationships/hyperlink" Target="https://talan.bank.gov.ua/get-user-certificate/J5325_iIa7N3I2TTXjL_" TargetMode="External"/><Relationship Id="rId319" Type="http://schemas.openxmlformats.org/officeDocument/2006/relationships/hyperlink" Target="https://talan.bank.gov.ua/get-user-certificate/J5325s9OsIBEqxU2MMUZ" TargetMode="External"/><Relationship Id="rId526" Type="http://schemas.openxmlformats.org/officeDocument/2006/relationships/hyperlink" Target="https://talan.bank.gov.ua/get-user-certificate/J53255C-pUCP2iZwI5tq" TargetMode="External"/><Relationship Id="rId1156" Type="http://schemas.openxmlformats.org/officeDocument/2006/relationships/hyperlink" Target="https://talan.bank.gov.ua/get-user-certificate/J5325LN0Icdu4aJ3f9Y6" TargetMode="External"/><Relationship Id="rId1363" Type="http://schemas.openxmlformats.org/officeDocument/2006/relationships/hyperlink" Target="https://talan.bank.gov.ua/get-user-certificate/J5325qn0Thr2ST5WATO0" TargetMode="External"/><Relationship Id="rId2207" Type="http://schemas.openxmlformats.org/officeDocument/2006/relationships/hyperlink" Target="https://talan.bank.gov.ua/get-user-certificate/J53258cJetrg-z0OHzc0" TargetMode="External"/><Relationship Id="rId2761" Type="http://schemas.openxmlformats.org/officeDocument/2006/relationships/hyperlink" Target="https://talan.bank.gov.ua/get-user-certificate/J5325qyYmz8MeD7bp6VL" TargetMode="External"/><Relationship Id="rId3605" Type="http://schemas.openxmlformats.org/officeDocument/2006/relationships/hyperlink" Target="https://talan.bank.gov.ua/get-user-certificate/J5325axJfdt8b1yvt6qf" TargetMode="External"/><Relationship Id="rId3812" Type="http://schemas.openxmlformats.org/officeDocument/2006/relationships/hyperlink" Target="https://talan.bank.gov.ua/get-user-certificate/J5325lp0X6RWp3c6r9MK" TargetMode="External"/><Relationship Id="rId733" Type="http://schemas.openxmlformats.org/officeDocument/2006/relationships/hyperlink" Target="https://talan.bank.gov.ua/get-user-certificate/J5325VwAg7a35xEz7fAj" TargetMode="External"/><Relationship Id="rId940" Type="http://schemas.openxmlformats.org/officeDocument/2006/relationships/hyperlink" Target="https://talan.bank.gov.ua/get-user-certificate/J53250tf1JEgmQCv8_EI" TargetMode="External"/><Relationship Id="rId1016" Type="http://schemas.openxmlformats.org/officeDocument/2006/relationships/hyperlink" Target="https://talan.bank.gov.ua/get-user-certificate/J5325vkRlURlVbNN7tLl" TargetMode="External"/><Relationship Id="rId1570" Type="http://schemas.openxmlformats.org/officeDocument/2006/relationships/hyperlink" Target="https://talan.bank.gov.ua/get-user-certificate/J5325WlM7qjmZMjXtNJd" TargetMode="External"/><Relationship Id="rId2414" Type="http://schemas.openxmlformats.org/officeDocument/2006/relationships/hyperlink" Target="https://talan.bank.gov.ua/get-user-certificate/J5325rzTr6Awev5i_BHk" TargetMode="External"/><Relationship Id="rId2621" Type="http://schemas.openxmlformats.org/officeDocument/2006/relationships/hyperlink" Target="https://talan.bank.gov.ua/get-user-certificate/J5325JDiAMsuWC1ylp4i" TargetMode="External"/><Relationship Id="rId800" Type="http://schemas.openxmlformats.org/officeDocument/2006/relationships/hyperlink" Target="https://talan.bank.gov.ua/get-user-certificate/J5325SBu4ZWAmsIQUOzh" TargetMode="External"/><Relationship Id="rId1223" Type="http://schemas.openxmlformats.org/officeDocument/2006/relationships/hyperlink" Target="https://talan.bank.gov.ua/get-user-certificate/J5325nkg9WnAKcRznQ8G" TargetMode="External"/><Relationship Id="rId1430" Type="http://schemas.openxmlformats.org/officeDocument/2006/relationships/hyperlink" Target="https://talan.bank.gov.ua/get-user-certificate/J5325FVZ5fSb_4_RG6DP" TargetMode="External"/><Relationship Id="rId3188" Type="http://schemas.openxmlformats.org/officeDocument/2006/relationships/hyperlink" Target="https://talan.bank.gov.ua/get-user-certificate/J5325WYhRE0a8kRPOSwk" TargetMode="External"/><Relationship Id="rId3395" Type="http://schemas.openxmlformats.org/officeDocument/2006/relationships/hyperlink" Target="https://talan.bank.gov.ua/get-user-certificate/J5325eJ8t7CZgQxMk0H4" TargetMode="External"/><Relationship Id="rId4239" Type="http://schemas.openxmlformats.org/officeDocument/2006/relationships/hyperlink" Target="https://talan.bank.gov.ua/get-user-certificate/CYWPHtC07AlXiQMxTi8g" TargetMode="External"/><Relationship Id="rId3048" Type="http://schemas.openxmlformats.org/officeDocument/2006/relationships/hyperlink" Target="https://talan.bank.gov.ua/get-user-certificate/J5325L-1MDrIFOIgQ_Yq" TargetMode="External"/><Relationship Id="rId3255" Type="http://schemas.openxmlformats.org/officeDocument/2006/relationships/hyperlink" Target="https://talan.bank.gov.ua/get-user-certificate/J5325u8EeGJ4W2d_k-9E" TargetMode="External"/><Relationship Id="rId3462" Type="http://schemas.openxmlformats.org/officeDocument/2006/relationships/hyperlink" Target="https://talan.bank.gov.ua/get-user-certificate/J5325AzDYmk-l8OKSWvy" TargetMode="External"/><Relationship Id="rId176" Type="http://schemas.openxmlformats.org/officeDocument/2006/relationships/hyperlink" Target="https://talan.bank.gov.ua/get-user-certificate/J5325bs8aUKo6nM-DytW" TargetMode="External"/><Relationship Id="rId383" Type="http://schemas.openxmlformats.org/officeDocument/2006/relationships/hyperlink" Target="https://talan.bank.gov.ua/get-user-certificate/J5325fEOelkghivKUrta" TargetMode="External"/><Relationship Id="rId590" Type="http://schemas.openxmlformats.org/officeDocument/2006/relationships/hyperlink" Target="https://talan.bank.gov.ua/get-user-certificate/J5325SuluKuTSQuNvBhM" TargetMode="External"/><Relationship Id="rId2064" Type="http://schemas.openxmlformats.org/officeDocument/2006/relationships/hyperlink" Target="https://talan.bank.gov.ua/get-user-certificate/J5325HItS2CGbDwnA8d2" TargetMode="External"/><Relationship Id="rId2271" Type="http://schemas.openxmlformats.org/officeDocument/2006/relationships/hyperlink" Target="https://talan.bank.gov.ua/get-user-certificate/J5325Jwj_bNjNirz0kO6" TargetMode="External"/><Relationship Id="rId3115" Type="http://schemas.openxmlformats.org/officeDocument/2006/relationships/hyperlink" Target="https://talan.bank.gov.ua/get-user-certificate/J5325yCGD0t2Z3U_Shhw" TargetMode="External"/><Relationship Id="rId3322" Type="http://schemas.openxmlformats.org/officeDocument/2006/relationships/hyperlink" Target="https://talan.bank.gov.ua/get-user-certificate/J5325AapdP_emDexLSOH" TargetMode="External"/><Relationship Id="rId243" Type="http://schemas.openxmlformats.org/officeDocument/2006/relationships/hyperlink" Target="https://talan.bank.gov.ua/get-user-certificate/J5325W2yld0PExvWJnwK" TargetMode="External"/><Relationship Id="rId450" Type="http://schemas.openxmlformats.org/officeDocument/2006/relationships/hyperlink" Target="https://talan.bank.gov.ua/get-user-certificate/J5325YYFXoLpclV9rJkS" TargetMode="External"/><Relationship Id="rId1080" Type="http://schemas.openxmlformats.org/officeDocument/2006/relationships/hyperlink" Target="https://talan.bank.gov.ua/get-user-certificate/J5325LRaB3YddErtzj5S" TargetMode="External"/><Relationship Id="rId2131" Type="http://schemas.openxmlformats.org/officeDocument/2006/relationships/hyperlink" Target="https://talan.bank.gov.ua/get-user-certificate/J5325QMpG55JpLFfuQxG" TargetMode="External"/><Relationship Id="rId103" Type="http://schemas.openxmlformats.org/officeDocument/2006/relationships/hyperlink" Target="https://talan.bank.gov.ua/get-user-certificate/J5325Mf8KJu9Vc7rRohc" TargetMode="External"/><Relationship Id="rId310" Type="http://schemas.openxmlformats.org/officeDocument/2006/relationships/hyperlink" Target="https://talan.bank.gov.ua/get-user-certificate/J53256881JoQddTdexv8" TargetMode="External"/><Relationship Id="rId4096" Type="http://schemas.openxmlformats.org/officeDocument/2006/relationships/hyperlink" Target="https://talan.bank.gov.ua/get-user-certificate/J5325WTfvwWNKwRGWzbt" TargetMode="External"/><Relationship Id="rId1897" Type="http://schemas.openxmlformats.org/officeDocument/2006/relationships/hyperlink" Target="https://talan.bank.gov.ua/get-user-certificate/J5325qUKZeQhqFL6If6_" TargetMode="External"/><Relationship Id="rId2948" Type="http://schemas.openxmlformats.org/officeDocument/2006/relationships/hyperlink" Target="https://talan.bank.gov.ua/get-user-certificate/J5325fKc3QpRungQ8Ve9" TargetMode="External"/><Relationship Id="rId1757" Type="http://schemas.openxmlformats.org/officeDocument/2006/relationships/hyperlink" Target="https://talan.bank.gov.ua/get-user-certificate/J5325E_GRfCXCTaZe-OP" TargetMode="External"/><Relationship Id="rId1964" Type="http://schemas.openxmlformats.org/officeDocument/2006/relationships/hyperlink" Target="https://talan.bank.gov.ua/get-user-certificate/J5325yXbBvrWGweoibLt" TargetMode="External"/><Relationship Id="rId2808" Type="http://schemas.openxmlformats.org/officeDocument/2006/relationships/hyperlink" Target="https://talan.bank.gov.ua/get-user-certificate/J5325b_VFknKslIc7b54" TargetMode="External"/><Relationship Id="rId4163" Type="http://schemas.openxmlformats.org/officeDocument/2006/relationships/hyperlink" Target="https://talan.bank.gov.ua/get-user-certificate/J5325ckxn9bLIDV8uKtN" TargetMode="External"/><Relationship Id="rId49" Type="http://schemas.openxmlformats.org/officeDocument/2006/relationships/hyperlink" Target="https://talan.bank.gov.ua/get-user-certificate/J5325vLRsnryV17vObnm" TargetMode="External"/><Relationship Id="rId1617" Type="http://schemas.openxmlformats.org/officeDocument/2006/relationships/hyperlink" Target="https://talan.bank.gov.ua/get-user-certificate/J5325zN4JTI2N90tRwHt" TargetMode="External"/><Relationship Id="rId1824" Type="http://schemas.openxmlformats.org/officeDocument/2006/relationships/hyperlink" Target="https://talan.bank.gov.ua/get-user-certificate/J5325QWbt-HIy3qoSssj" TargetMode="External"/><Relationship Id="rId4023" Type="http://schemas.openxmlformats.org/officeDocument/2006/relationships/hyperlink" Target="https://talan.bank.gov.ua/get-user-certificate/J5325elC4M7NGBXoE6FG" TargetMode="External"/><Relationship Id="rId4230" Type="http://schemas.openxmlformats.org/officeDocument/2006/relationships/hyperlink" Target="https://talan.bank.gov.ua/get-user-certificate/CYWPH3Tai924Q99GKd9I" TargetMode="External"/><Relationship Id="rId3789" Type="http://schemas.openxmlformats.org/officeDocument/2006/relationships/hyperlink" Target="https://talan.bank.gov.ua/get-user-certificate/J5325fHBZe63N-DaZwXa" TargetMode="External"/><Relationship Id="rId2598" Type="http://schemas.openxmlformats.org/officeDocument/2006/relationships/hyperlink" Target="https://talan.bank.gov.ua/get-user-certificate/J53256JGWyKSt21RUW8L" TargetMode="External"/><Relationship Id="rId3996" Type="http://schemas.openxmlformats.org/officeDocument/2006/relationships/hyperlink" Target="https://talan.bank.gov.ua/get-user-certificate/J5325jtMuvOYQeMCGy3U" TargetMode="External"/><Relationship Id="rId3649" Type="http://schemas.openxmlformats.org/officeDocument/2006/relationships/hyperlink" Target="https://talan.bank.gov.ua/get-user-certificate/J5325saTNBpUDuH5nnw2" TargetMode="External"/><Relationship Id="rId3856" Type="http://schemas.openxmlformats.org/officeDocument/2006/relationships/hyperlink" Target="https://talan.bank.gov.ua/get-user-certificate/J5325RN8Hf528SlrVmA4" TargetMode="External"/><Relationship Id="rId777" Type="http://schemas.openxmlformats.org/officeDocument/2006/relationships/hyperlink" Target="https://talan.bank.gov.ua/get-user-certificate/J53259pW24UVfJP7UHNu" TargetMode="External"/><Relationship Id="rId984" Type="http://schemas.openxmlformats.org/officeDocument/2006/relationships/hyperlink" Target="https://talan.bank.gov.ua/get-user-certificate/J5325vl9HhFGTLqD_0br" TargetMode="External"/><Relationship Id="rId2458" Type="http://schemas.openxmlformats.org/officeDocument/2006/relationships/hyperlink" Target="https://talan.bank.gov.ua/get-user-certificate/J5325K_vwjvrPMFFvLQl" TargetMode="External"/><Relationship Id="rId2665" Type="http://schemas.openxmlformats.org/officeDocument/2006/relationships/hyperlink" Target="https://talan.bank.gov.ua/get-user-certificate/J53257iLQyUYrzaj1VXt" TargetMode="External"/><Relationship Id="rId2872" Type="http://schemas.openxmlformats.org/officeDocument/2006/relationships/hyperlink" Target="https://talan.bank.gov.ua/get-user-certificate/J53257Z7K_xXvWPU1Uz6" TargetMode="External"/><Relationship Id="rId3509" Type="http://schemas.openxmlformats.org/officeDocument/2006/relationships/hyperlink" Target="https://talan.bank.gov.ua/get-user-certificate/J5325cONGJBSO2WaA5gP" TargetMode="External"/><Relationship Id="rId3716" Type="http://schemas.openxmlformats.org/officeDocument/2006/relationships/hyperlink" Target="https://talan.bank.gov.ua/get-user-certificate/J5325QVXheLFB9wlS57w" TargetMode="External"/><Relationship Id="rId3923" Type="http://schemas.openxmlformats.org/officeDocument/2006/relationships/hyperlink" Target="https://talan.bank.gov.ua/get-user-certificate/J53255Z300xq4a0dYs6U" TargetMode="External"/><Relationship Id="rId637" Type="http://schemas.openxmlformats.org/officeDocument/2006/relationships/hyperlink" Target="https://talan.bank.gov.ua/get-user-certificate/J5325jrJiWaY2DJhgIrJ" TargetMode="External"/><Relationship Id="rId844" Type="http://schemas.openxmlformats.org/officeDocument/2006/relationships/hyperlink" Target="https://talan.bank.gov.ua/get-user-certificate/J53254Hx7m190GDboMZo" TargetMode="External"/><Relationship Id="rId1267" Type="http://schemas.openxmlformats.org/officeDocument/2006/relationships/hyperlink" Target="https://talan.bank.gov.ua/get-user-certificate/J5325PmK7nE-6w2X61dN" TargetMode="External"/><Relationship Id="rId1474" Type="http://schemas.openxmlformats.org/officeDocument/2006/relationships/hyperlink" Target="https://talan.bank.gov.ua/get-user-certificate/J5325_mA4WNKMaT4t7p3" TargetMode="External"/><Relationship Id="rId1681" Type="http://schemas.openxmlformats.org/officeDocument/2006/relationships/hyperlink" Target="https://talan.bank.gov.ua/get-user-certificate/J5325aFj2dBpQ_he9q0g" TargetMode="External"/><Relationship Id="rId2318" Type="http://schemas.openxmlformats.org/officeDocument/2006/relationships/hyperlink" Target="https://talan.bank.gov.ua/get-user-certificate/J5325DgLGk6xeD5AbBMC" TargetMode="External"/><Relationship Id="rId2525" Type="http://schemas.openxmlformats.org/officeDocument/2006/relationships/hyperlink" Target="https://talan.bank.gov.ua/get-user-certificate/J53251J33WyOxzyLRce7" TargetMode="External"/><Relationship Id="rId2732" Type="http://schemas.openxmlformats.org/officeDocument/2006/relationships/hyperlink" Target="https://talan.bank.gov.ua/get-user-certificate/J5325Q-Hsh-_MWPgjpQ8" TargetMode="External"/><Relationship Id="rId704" Type="http://schemas.openxmlformats.org/officeDocument/2006/relationships/hyperlink" Target="https://talan.bank.gov.ua/get-user-certificate/J5325KgmSEsl_PZEfLi1" TargetMode="External"/><Relationship Id="rId911" Type="http://schemas.openxmlformats.org/officeDocument/2006/relationships/hyperlink" Target="https://talan.bank.gov.ua/get-user-certificate/J5325iKDpIMA3UUSpjWk" TargetMode="External"/><Relationship Id="rId1127" Type="http://schemas.openxmlformats.org/officeDocument/2006/relationships/hyperlink" Target="https://talan.bank.gov.ua/get-user-certificate/J5325dtTtu2BHD9mSZCi" TargetMode="External"/><Relationship Id="rId1334" Type="http://schemas.openxmlformats.org/officeDocument/2006/relationships/hyperlink" Target="https://talan.bank.gov.ua/get-user-certificate/J5325WizRgMbBbN16iRn" TargetMode="External"/><Relationship Id="rId1541" Type="http://schemas.openxmlformats.org/officeDocument/2006/relationships/hyperlink" Target="https://talan.bank.gov.ua/get-user-certificate/J5325iJubySvbegU3CcL" TargetMode="External"/><Relationship Id="rId40" Type="http://schemas.openxmlformats.org/officeDocument/2006/relationships/hyperlink" Target="https://talan.bank.gov.ua/get-user-certificate/J5325qgUS2w9dYe4-TZs" TargetMode="External"/><Relationship Id="rId1401" Type="http://schemas.openxmlformats.org/officeDocument/2006/relationships/hyperlink" Target="https://talan.bank.gov.ua/get-user-certificate/J5325JeAF8iPc7Cn39He" TargetMode="External"/><Relationship Id="rId3299" Type="http://schemas.openxmlformats.org/officeDocument/2006/relationships/hyperlink" Target="https://talan.bank.gov.ua/get-user-certificate/J5325YzVqCDQjWdq7W6a" TargetMode="External"/><Relationship Id="rId3159" Type="http://schemas.openxmlformats.org/officeDocument/2006/relationships/hyperlink" Target="https://talan.bank.gov.ua/get-user-certificate/J5325C1aujxHBjmuegmO" TargetMode="External"/><Relationship Id="rId3366" Type="http://schemas.openxmlformats.org/officeDocument/2006/relationships/hyperlink" Target="https://talan.bank.gov.ua/get-user-certificate/J5325LKFFVG2jKyzEK3P" TargetMode="External"/><Relationship Id="rId3573" Type="http://schemas.openxmlformats.org/officeDocument/2006/relationships/hyperlink" Target="https://talan.bank.gov.ua/get-user-certificate/J53250Vtn3N19Pm42j4H" TargetMode="External"/><Relationship Id="rId287" Type="http://schemas.openxmlformats.org/officeDocument/2006/relationships/hyperlink" Target="https://talan.bank.gov.ua/get-user-certificate/J5325QjPLAZmYu3O84li" TargetMode="External"/><Relationship Id="rId494" Type="http://schemas.openxmlformats.org/officeDocument/2006/relationships/hyperlink" Target="https://talan.bank.gov.ua/get-user-certificate/J5325HZ2PlZo8HikME_P" TargetMode="External"/><Relationship Id="rId2175" Type="http://schemas.openxmlformats.org/officeDocument/2006/relationships/hyperlink" Target="https://talan.bank.gov.ua/get-user-certificate/J5325fknmJ6djecNwg3a" TargetMode="External"/><Relationship Id="rId2382" Type="http://schemas.openxmlformats.org/officeDocument/2006/relationships/hyperlink" Target="https://talan.bank.gov.ua/get-user-certificate/J5325k23V68ErmnFCzDc" TargetMode="External"/><Relationship Id="rId3019" Type="http://schemas.openxmlformats.org/officeDocument/2006/relationships/hyperlink" Target="https://talan.bank.gov.ua/get-user-certificate/J53254iuddCLFritweOl" TargetMode="External"/><Relationship Id="rId3226" Type="http://schemas.openxmlformats.org/officeDocument/2006/relationships/hyperlink" Target="https://talan.bank.gov.ua/get-user-certificate/J5325wYptwicxR2y_jSo" TargetMode="External"/><Relationship Id="rId3780" Type="http://schemas.openxmlformats.org/officeDocument/2006/relationships/hyperlink" Target="https://talan.bank.gov.ua/get-user-certificate/J53250bxHJZY6PAYG4YH" TargetMode="External"/><Relationship Id="rId147" Type="http://schemas.openxmlformats.org/officeDocument/2006/relationships/hyperlink" Target="https://talan.bank.gov.ua/get-user-certificate/J5325Fz-FUIaa5R0OPbI" TargetMode="External"/><Relationship Id="rId354" Type="http://schemas.openxmlformats.org/officeDocument/2006/relationships/hyperlink" Target="https://talan.bank.gov.ua/get-user-certificate/J5325yhOcf7cu2y3WFQ_" TargetMode="External"/><Relationship Id="rId1191" Type="http://schemas.openxmlformats.org/officeDocument/2006/relationships/hyperlink" Target="https://talan.bank.gov.ua/get-user-certificate/J5325ct2XoOZJqVWQPt1" TargetMode="External"/><Relationship Id="rId2035" Type="http://schemas.openxmlformats.org/officeDocument/2006/relationships/hyperlink" Target="https://talan.bank.gov.ua/get-user-certificate/J5325qQDsUYCNy2cwJaC" TargetMode="External"/><Relationship Id="rId3433" Type="http://schemas.openxmlformats.org/officeDocument/2006/relationships/hyperlink" Target="https://talan.bank.gov.ua/get-user-certificate/J5325ooP-5kRluVSkgZt" TargetMode="External"/><Relationship Id="rId3640" Type="http://schemas.openxmlformats.org/officeDocument/2006/relationships/hyperlink" Target="https://talan.bank.gov.ua/get-user-certificate/J5325QjYeqMuzrx_fC7A" TargetMode="External"/><Relationship Id="rId561" Type="http://schemas.openxmlformats.org/officeDocument/2006/relationships/hyperlink" Target="https://talan.bank.gov.ua/get-user-certificate/J5325UULD1PhYn4ykHaT" TargetMode="External"/><Relationship Id="rId2242" Type="http://schemas.openxmlformats.org/officeDocument/2006/relationships/hyperlink" Target="https://talan.bank.gov.ua/get-user-certificate/J5325kFb3YmnOezQ79wj" TargetMode="External"/><Relationship Id="rId3500" Type="http://schemas.openxmlformats.org/officeDocument/2006/relationships/hyperlink" Target="https://talan.bank.gov.ua/get-user-certificate/J5325LbKX4hOCzyLRVfi" TargetMode="External"/><Relationship Id="rId214" Type="http://schemas.openxmlformats.org/officeDocument/2006/relationships/hyperlink" Target="https://talan.bank.gov.ua/get-user-certificate/J53256sdwb26c6tU0TNB" TargetMode="External"/><Relationship Id="rId421" Type="http://schemas.openxmlformats.org/officeDocument/2006/relationships/hyperlink" Target="https://talan.bank.gov.ua/get-user-certificate/J5325y1BBVTWbubFgjwd" TargetMode="External"/><Relationship Id="rId1051" Type="http://schemas.openxmlformats.org/officeDocument/2006/relationships/hyperlink" Target="https://talan.bank.gov.ua/get-user-certificate/J5325Hec0Q87bfBmIl9Z" TargetMode="External"/><Relationship Id="rId2102" Type="http://schemas.openxmlformats.org/officeDocument/2006/relationships/hyperlink" Target="https://talan.bank.gov.ua/get-user-certificate/J5325HWqYm3RDWVl7NxD" TargetMode="External"/><Relationship Id="rId1868" Type="http://schemas.openxmlformats.org/officeDocument/2006/relationships/hyperlink" Target="https://talan.bank.gov.ua/get-user-certificate/J5325zyIaf-U59A4A1jy" TargetMode="External"/><Relationship Id="rId4067" Type="http://schemas.openxmlformats.org/officeDocument/2006/relationships/hyperlink" Target="https://talan.bank.gov.ua/get-user-certificate/J5325J1NZUC_klhm_mxm" TargetMode="External"/><Relationship Id="rId2919" Type="http://schemas.openxmlformats.org/officeDocument/2006/relationships/hyperlink" Target="https://talan.bank.gov.ua/get-user-certificate/J5325znPPGcXtPrax9mC" TargetMode="External"/><Relationship Id="rId3083" Type="http://schemas.openxmlformats.org/officeDocument/2006/relationships/hyperlink" Target="https://talan.bank.gov.ua/get-user-certificate/J5325WV9yXRVIGZUBqLq" TargetMode="External"/><Relationship Id="rId3290" Type="http://schemas.openxmlformats.org/officeDocument/2006/relationships/hyperlink" Target="https://talan.bank.gov.ua/get-user-certificate/J5325n3fXZGG0Y0P16JP" TargetMode="External"/><Relationship Id="rId4134" Type="http://schemas.openxmlformats.org/officeDocument/2006/relationships/hyperlink" Target="https://talan.bank.gov.ua/get-user-certificate/J5325eH5A7xivHM64Wj2" TargetMode="External"/><Relationship Id="rId1728" Type="http://schemas.openxmlformats.org/officeDocument/2006/relationships/hyperlink" Target="https://talan.bank.gov.ua/get-user-certificate/J5325OzZb1EnAat59AoY" TargetMode="External"/><Relationship Id="rId1935" Type="http://schemas.openxmlformats.org/officeDocument/2006/relationships/hyperlink" Target="https://talan.bank.gov.ua/get-user-certificate/J5325vQV9a6h4a0ODV6g" TargetMode="External"/><Relationship Id="rId3150" Type="http://schemas.openxmlformats.org/officeDocument/2006/relationships/hyperlink" Target="https://talan.bank.gov.ua/get-user-certificate/J5325P6B5ELeKsjViKCJ" TargetMode="External"/><Relationship Id="rId4201" Type="http://schemas.openxmlformats.org/officeDocument/2006/relationships/hyperlink" Target="https://talan.bank.gov.ua/get-user-certificate/TbxZW7SwDX2Khv4WceVR" TargetMode="External"/><Relationship Id="rId3010" Type="http://schemas.openxmlformats.org/officeDocument/2006/relationships/hyperlink" Target="https://talan.bank.gov.ua/get-user-certificate/J5325Gj5U2_AiC3T0yDU" TargetMode="External"/><Relationship Id="rId3967" Type="http://schemas.openxmlformats.org/officeDocument/2006/relationships/hyperlink" Target="https://talan.bank.gov.ua/get-user-certificate/J5325vma1nmagjtOx0gU" TargetMode="External"/><Relationship Id="rId4" Type="http://schemas.openxmlformats.org/officeDocument/2006/relationships/hyperlink" Target="https://talan.bank.gov.ua/get-user-certificate/J53253ZEN-ut_TCLb17d" TargetMode="External"/><Relationship Id="rId888" Type="http://schemas.openxmlformats.org/officeDocument/2006/relationships/hyperlink" Target="https://talan.bank.gov.ua/get-user-certificate/J53258aBHHWkWq5EshWG" TargetMode="External"/><Relationship Id="rId2569" Type="http://schemas.openxmlformats.org/officeDocument/2006/relationships/hyperlink" Target="https://talan.bank.gov.ua/get-user-certificate/J5325aBzzX5hahDQQ4A-" TargetMode="External"/><Relationship Id="rId2776" Type="http://schemas.openxmlformats.org/officeDocument/2006/relationships/hyperlink" Target="https://talan.bank.gov.ua/get-user-certificate/J5325mq5BfB8LGoUv9lI" TargetMode="External"/><Relationship Id="rId2983" Type="http://schemas.openxmlformats.org/officeDocument/2006/relationships/hyperlink" Target="https://talan.bank.gov.ua/get-user-certificate/J5325S4Ssy2BNy_mR1VM" TargetMode="External"/><Relationship Id="rId3827" Type="http://schemas.openxmlformats.org/officeDocument/2006/relationships/hyperlink" Target="https://talan.bank.gov.ua/get-user-certificate/J5325i3ZunpciKF3zJng" TargetMode="External"/><Relationship Id="rId748" Type="http://schemas.openxmlformats.org/officeDocument/2006/relationships/hyperlink" Target="https://talan.bank.gov.ua/get-user-certificate/J53255l50aC93yMB7xhA" TargetMode="External"/><Relationship Id="rId955" Type="http://schemas.openxmlformats.org/officeDocument/2006/relationships/hyperlink" Target="https://talan.bank.gov.ua/get-user-certificate/J5325ffKWatYebv6rwEj" TargetMode="External"/><Relationship Id="rId1378" Type="http://schemas.openxmlformats.org/officeDocument/2006/relationships/hyperlink" Target="https://talan.bank.gov.ua/get-user-certificate/J5325QdvA_NxmHZLyAJB" TargetMode="External"/><Relationship Id="rId1585" Type="http://schemas.openxmlformats.org/officeDocument/2006/relationships/hyperlink" Target="https://talan.bank.gov.ua/get-user-certificate/J5325cKKyyQovUBuQzrd" TargetMode="External"/><Relationship Id="rId1792" Type="http://schemas.openxmlformats.org/officeDocument/2006/relationships/hyperlink" Target="https://talan.bank.gov.ua/get-user-certificate/J5325upDXKQV1RPNLE0O" TargetMode="External"/><Relationship Id="rId2429" Type="http://schemas.openxmlformats.org/officeDocument/2006/relationships/hyperlink" Target="https://talan.bank.gov.ua/get-user-certificate/J5325L_iyTPeY4oioDdQ" TargetMode="External"/><Relationship Id="rId2636" Type="http://schemas.openxmlformats.org/officeDocument/2006/relationships/hyperlink" Target="https://talan.bank.gov.ua/get-user-certificate/J5325PwpTRwckdufavFL" TargetMode="External"/><Relationship Id="rId2843" Type="http://schemas.openxmlformats.org/officeDocument/2006/relationships/hyperlink" Target="https://talan.bank.gov.ua/get-user-certificate/J5325i0n5tNipHvF6SfN" TargetMode="External"/><Relationship Id="rId84" Type="http://schemas.openxmlformats.org/officeDocument/2006/relationships/hyperlink" Target="https://talan.bank.gov.ua/get-user-certificate/J5325mIYX5OkgG4uzmjK" TargetMode="External"/><Relationship Id="rId608" Type="http://schemas.openxmlformats.org/officeDocument/2006/relationships/hyperlink" Target="https://talan.bank.gov.ua/get-user-certificate/J5325ArQiAyu83_UeTZa" TargetMode="External"/><Relationship Id="rId815" Type="http://schemas.openxmlformats.org/officeDocument/2006/relationships/hyperlink" Target="https://talan.bank.gov.ua/get-user-certificate/J5325sLrI9s1Ki5pWt6D" TargetMode="External"/><Relationship Id="rId1238" Type="http://schemas.openxmlformats.org/officeDocument/2006/relationships/hyperlink" Target="https://talan.bank.gov.ua/get-user-certificate/J53259FEehGnT851YwzH" TargetMode="External"/><Relationship Id="rId1445" Type="http://schemas.openxmlformats.org/officeDocument/2006/relationships/hyperlink" Target="https://talan.bank.gov.ua/get-user-certificate/J53257SbL3e3iORMJWDs" TargetMode="External"/><Relationship Id="rId1652" Type="http://schemas.openxmlformats.org/officeDocument/2006/relationships/hyperlink" Target="https://talan.bank.gov.ua/get-user-certificate/J5325MLxymwVf-iqZTue" TargetMode="External"/><Relationship Id="rId1305" Type="http://schemas.openxmlformats.org/officeDocument/2006/relationships/hyperlink" Target="https://talan.bank.gov.ua/get-user-certificate/J5325vQCh86c9ADUQQ7d" TargetMode="External"/><Relationship Id="rId2703" Type="http://schemas.openxmlformats.org/officeDocument/2006/relationships/hyperlink" Target="https://talan.bank.gov.ua/get-user-certificate/J5325DErD_qElPJ981SC" TargetMode="External"/><Relationship Id="rId2910" Type="http://schemas.openxmlformats.org/officeDocument/2006/relationships/hyperlink" Target="https://talan.bank.gov.ua/get-user-certificate/J5325HSPzB-PNqE2ayaW" TargetMode="External"/><Relationship Id="rId1512" Type="http://schemas.openxmlformats.org/officeDocument/2006/relationships/hyperlink" Target="https://talan.bank.gov.ua/get-user-certificate/J5325kyErLWbu6jPy3k-" TargetMode="External"/><Relationship Id="rId11" Type="http://schemas.openxmlformats.org/officeDocument/2006/relationships/hyperlink" Target="https://talan.bank.gov.ua/get-user-certificate/J5325e8w8x-VCnD5hq_E" TargetMode="External"/><Relationship Id="rId398" Type="http://schemas.openxmlformats.org/officeDocument/2006/relationships/hyperlink" Target="https://talan.bank.gov.ua/get-user-certificate/J53257g0gJnunV65t7Tl" TargetMode="External"/><Relationship Id="rId2079" Type="http://schemas.openxmlformats.org/officeDocument/2006/relationships/hyperlink" Target="https://talan.bank.gov.ua/get-user-certificate/J53255WstxP60qzBR8Yy" TargetMode="External"/><Relationship Id="rId3477" Type="http://schemas.openxmlformats.org/officeDocument/2006/relationships/hyperlink" Target="https://talan.bank.gov.ua/get-user-certificate/J53259Xrd7sYn-M2BQth" TargetMode="External"/><Relationship Id="rId3684" Type="http://schemas.openxmlformats.org/officeDocument/2006/relationships/hyperlink" Target="https://talan.bank.gov.ua/get-user-certificate/J5325tmrxb5Eh0sHk9mH" TargetMode="External"/><Relationship Id="rId3891" Type="http://schemas.openxmlformats.org/officeDocument/2006/relationships/hyperlink" Target="https://talan.bank.gov.ua/get-user-certificate/J5325Ht2huO815WkZ2BI" TargetMode="External"/><Relationship Id="rId2286" Type="http://schemas.openxmlformats.org/officeDocument/2006/relationships/hyperlink" Target="https://talan.bank.gov.ua/get-user-certificate/J5325ajAg-IuoAT4OBN_" TargetMode="External"/><Relationship Id="rId2493" Type="http://schemas.openxmlformats.org/officeDocument/2006/relationships/hyperlink" Target="https://talan.bank.gov.ua/get-user-certificate/J5325_vPGbHvJ7Wx1npZ" TargetMode="External"/><Relationship Id="rId3337" Type="http://schemas.openxmlformats.org/officeDocument/2006/relationships/hyperlink" Target="https://talan.bank.gov.ua/get-user-certificate/J5325u3PqeVYGdAuKyjd" TargetMode="External"/><Relationship Id="rId3544" Type="http://schemas.openxmlformats.org/officeDocument/2006/relationships/hyperlink" Target="https://talan.bank.gov.ua/get-user-certificate/J5325jAdDkysovNnLPrG" TargetMode="External"/><Relationship Id="rId3751" Type="http://schemas.openxmlformats.org/officeDocument/2006/relationships/hyperlink" Target="https://talan.bank.gov.ua/get-user-certificate/J5325VxUU3KD_fbE1m-Z" TargetMode="External"/><Relationship Id="rId258" Type="http://schemas.openxmlformats.org/officeDocument/2006/relationships/hyperlink" Target="https://talan.bank.gov.ua/get-user-certificate/J53255uIKzTlVyaKDrbu" TargetMode="External"/><Relationship Id="rId465" Type="http://schemas.openxmlformats.org/officeDocument/2006/relationships/hyperlink" Target="https://talan.bank.gov.ua/get-user-certificate/J5325YFnvjJmfnFZC6ch" TargetMode="External"/><Relationship Id="rId672" Type="http://schemas.openxmlformats.org/officeDocument/2006/relationships/hyperlink" Target="https://talan.bank.gov.ua/get-user-certificate/J5325iyVzuHf01Nvysdl" TargetMode="External"/><Relationship Id="rId1095" Type="http://schemas.openxmlformats.org/officeDocument/2006/relationships/hyperlink" Target="https://talan.bank.gov.ua/get-user-certificate/J5325npAk-taB_bIirxi" TargetMode="External"/><Relationship Id="rId2146" Type="http://schemas.openxmlformats.org/officeDocument/2006/relationships/hyperlink" Target="https://talan.bank.gov.ua/get-user-certificate/J5325ylLIh71p924kOE4" TargetMode="External"/><Relationship Id="rId2353" Type="http://schemas.openxmlformats.org/officeDocument/2006/relationships/hyperlink" Target="https://talan.bank.gov.ua/get-user-certificate/J5325-M0zPBypYGMeQqw" TargetMode="External"/><Relationship Id="rId2560" Type="http://schemas.openxmlformats.org/officeDocument/2006/relationships/hyperlink" Target="https://talan.bank.gov.ua/get-user-certificate/J5325G5pTIgrCHvrwhWy" TargetMode="External"/><Relationship Id="rId3404" Type="http://schemas.openxmlformats.org/officeDocument/2006/relationships/hyperlink" Target="https://talan.bank.gov.ua/get-user-certificate/J5325FEAifKctQ1pvGUZ" TargetMode="External"/><Relationship Id="rId3611" Type="http://schemas.openxmlformats.org/officeDocument/2006/relationships/hyperlink" Target="https://talan.bank.gov.ua/get-user-certificate/J5325Rt-DkJcZXoXReyw" TargetMode="External"/><Relationship Id="rId118" Type="http://schemas.openxmlformats.org/officeDocument/2006/relationships/hyperlink" Target="https://talan.bank.gov.ua/get-user-certificate/J5325dWTZnHmVzQCOMXm" TargetMode="External"/><Relationship Id="rId325" Type="http://schemas.openxmlformats.org/officeDocument/2006/relationships/hyperlink" Target="https://talan.bank.gov.ua/get-user-certificate/J53257ZK-JC2ZsIuGeBe" TargetMode="External"/><Relationship Id="rId532" Type="http://schemas.openxmlformats.org/officeDocument/2006/relationships/hyperlink" Target="https://talan.bank.gov.ua/get-user-certificate/J5325nnd-P0Xb8bRx-2f" TargetMode="External"/><Relationship Id="rId1162" Type="http://schemas.openxmlformats.org/officeDocument/2006/relationships/hyperlink" Target="https://talan.bank.gov.ua/get-user-certificate/J5325Qc5cM6j3VFJlb8n" TargetMode="External"/><Relationship Id="rId2006" Type="http://schemas.openxmlformats.org/officeDocument/2006/relationships/hyperlink" Target="https://talan.bank.gov.ua/get-user-certificate/J5325I39oKXOwuLDKMcR" TargetMode="External"/><Relationship Id="rId2213" Type="http://schemas.openxmlformats.org/officeDocument/2006/relationships/hyperlink" Target="https://talan.bank.gov.ua/get-user-certificate/J5325prQmm7u6ENHrU5c" TargetMode="External"/><Relationship Id="rId2420" Type="http://schemas.openxmlformats.org/officeDocument/2006/relationships/hyperlink" Target="https://talan.bank.gov.ua/get-user-certificate/J5325R6LEwBaBZNdTmDZ" TargetMode="External"/><Relationship Id="rId1022" Type="http://schemas.openxmlformats.org/officeDocument/2006/relationships/hyperlink" Target="https://talan.bank.gov.ua/get-user-certificate/J5325rZIlxax7VbG0yV4" TargetMode="External"/><Relationship Id="rId4178" Type="http://schemas.openxmlformats.org/officeDocument/2006/relationships/hyperlink" Target="https://talan.bank.gov.ua/get-user-certificate/TbxZWkro6TnpL9jfHaKt" TargetMode="External"/><Relationship Id="rId1979" Type="http://schemas.openxmlformats.org/officeDocument/2006/relationships/hyperlink" Target="https://talan.bank.gov.ua/get-user-certificate/J5325dfuck02S6BNIkRN" TargetMode="External"/><Relationship Id="rId3194" Type="http://schemas.openxmlformats.org/officeDocument/2006/relationships/hyperlink" Target="https://talan.bank.gov.ua/get-user-certificate/J5325y6NVahEsBLrPFQU" TargetMode="External"/><Relationship Id="rId4038" Type="http://schemas.openxmlformats.org/officeDocument/2006/relationships/hyperlink" Target="https://talan.bank.gov.ua/get-user-certificate/J5325s4IddSLytweyOF3" TargetMode="External"/><Relationship Id="rId4245" Type="http://schemas.openxmlformats.org/officeDocument/2006/relationships/hyperlink" Target="https://talan.bank.gov.ua/get-user-certificate/CYWPH1ggTYtTowbWoNna" TargetMode="External"/><Relationship Id="rId1839" Type="http://schemas.openxmlformats.org/officeDocument/2006/relationships/hyperlink" Target="https://talan.bank.gov.ua/get-user-certificate/J5325AdkgvrCd07EGM_q" TargetMode="External"/><Relationship Id="rId3054" Type="http://schemas.openxmlformats.org/officeDocument/2006/relationships/hyperlink" Target="https://talan.bank.gov.ua/get-user-certificate/J53259C365F4NpNLuNk0" TargetMode="External"/><Relationship Id="rId182" Type="http://schemas.openxmlformats.org/officeDocument/2006/relationships/hyperlink" Target="https://talan.bank.gov.ua/get-user-certificate/J5325D7ym8KfyvTLCWTE" TargetMode="External"/><Relationship Id="rId1906" Type="http://schemas.openxmlformats.org/officeDocument/2006/relationships/hyperlink" Target="https://talan.bank.gov.ua/get-user-certificate/J5325p81rupcpiy7cpIp" TargetMode="External"/><Relationship Id="rId3261" Type="http://schemas.openxmlformats.org/officeDocument/2006/relationships/hyperlink" Target="https://talan.bank.gov.ua/get-user-certificate/J5325ajIp_0tB8YsqWi0" TargetMode="External"/><Relationship Id="rId4105" Type="http://schemas.openxmlformats.org/officeDocument/2006/relationships/hyperlink" Target="https://talan.bank.gov.ua/get-user-certificate/J5325teWnuEAOQhvMk0D" TargetMode="External"/><Relationship Id="rId2070" Type="http://schemas.openxmlformats.org/officeDocument/2006/relationships/hyperlink" Target="https://talan.bank.gov.ua/get-user-certificate/J5325whuHwrG6tw7XADF" TargetMode="External"/><Relationship Id="rId3121" Type="http://schemas.openxmlformats.org/officeDocument/2006/relationships/hyperlink" Target="https://talan.bank.gov.ua/get-user-certificate/J5325yPRb-oKAvQGsmfZ" TargetMode="External"/><Relationship Id="rId999" Type="http://schemas.openxmlformats.org/officeDocument/2006/relationships/hyperlink" Target="https://talan.bank.gov.ua/get-user-certificate/J5325CrqqtBSu8hE4gl5" TargetMode="External"/><Relationship Id="rId2887" Type="http://schemas.openxmlformats.org/officeDocument/2006/relationships/hyperlink" Target="https://talan.bank.gov.ua/get-user-certificate/J5325h5e6lPLcB0qS8Er" TargetMode="External"/><Relationship Id="rId859" Type="http://schemas.openxmlformats.org/officeDocument/2006/relationships/hyperlink" Target="https://talan.bank.gov.ua/get-user-certificate/J5325UdQoN3HqPi6KCKz" TargetMode="External"/><Relationship Id="rId1489" Type="http://schemas.openxmlformats.org/officeDocument/2006/relationships/hyperlink" Target="https://talan.bank.gov.ua/get-user-certificate/J5325_rpvY6WXC1F2WsA" TargetMode="External"/><Relationship Id="rId1696" Type="http://schemas.openxmlformats.org/officeDocument/2006/relationships/hyperlink" Target="https://talan.bank.gov.ua/get-user-certificate/J5325JdjBQlxHTBCGvB7" TargetMode="External"/><Relationship Id="rId3938" Type="http://schemas.openxmlformats.org/officeDocument/2006/relationships/hyperlink" Target="https://talan.bank.gov.ua/get-user-certificate/J5325VqC5l17Air7_jwH" TargetMode="External"/><Relationship Id="rId1349" Type="http://schemas.openxmlformats.org/officeDocument/2006/relationships/hyperlink" Target="https://talan.bank.gov.ua/get-user-certificate/J5325kIxb1xVEnL-Sd5L" TargetMode="External"/><Relationship Id="rId2747" Type="http://schemas.openxmlformats.org/officeDocument/2006/relationships/hyperlink" Target="https://talan.bank.gov.ua/get-user-certificate/J5325MuD7rff6ouaAkAy" TargetMode="External"/><Relationship Id="rId2954" Type="http://schemas.openxmlformats.org/officeDocument/2006/relationships/hyperlink" Target="https://talan.bank.gov.ua/get-user-certificate/J5325JlUbMNV0CeDj8vp" TargetMode="External"/><Relationship Id="rId719" Type="http://schemas.openxmlformats.org/officeDocument/2006/relationships/hyperlink" Target="https://talan.bank.gov.ua/get-user-certificate/J5325I_SMp6aCKt9mm6T" TargetMode="External"/><Relationship Id="rId926" Type="http://schemas.openxmlformats.org/officeDocument/2006/relationships/hyperlink" Target="https://talan.bank.gov.ua/get-user-certificate/J5325w4P1PcZ7hBpRlqS" TargetMode="External"/><Relationship Id="rId1556" Type="http://schemas.openxmlformats.org/officeDocument/2006/relationships/hyperlink" Target="https://talan.bank.gov.ua/get-user-certificate/J53255oi7U6BEnKFI4r1" TargetMode="External"/><Relationship Id="rId1763" Type="http://schemas.openxmlformats.org/officeDocument/2006/relationships/hyperlink" Target="https://talan.bank.gov.ua/get-user-certificate/J5325EDyVJDRc5kgQCAj" TargetMode="External"/><Relationship Id="rId1970" Type="http://schemas.openxmlformats.org/officeDocument/2006/relationships/hyperlink" Target="https://talan.bank.gov.ua/get-user-certificate/J5325DjsUafDM-gTb7VE" TargetMode="External"/><Relationship Id="rId2607" Type="http://schemas.openxmlformats.org/officeDocument/2006/relationships/hyperlink" Target="https://talan.bank.gov.ua/get-user-certificate/J5325YzSbhW1INwGcXmN" TargetMode="External"/><Relationship Id="rId2814" Type="http://schemas.openxmlformats.org/officeDocument/2006/relationships/hyperlink" Target="https://talan.bank.gov.ua/get-user-certificate/J53257Q8oG9ZVcFl65-9" TargetMode="External"/><Relationship Id="rId55" Type="http://schemas.openxmlformats.org/officeDocument/2006/relationships/hyperlink" Target="https://talan.bank.gov.ua/get-user-certificate/J5325GvxvrNgdfSgNZNM" TargetMode="External"/><Relationship Id="rId1209" Type="http://schemas.openxmlformats.org/officeDocument/2006/relationships/hyperlink" Target="https://talan.bank.gov.ua/get-user-certificate/J53257iedZeAUfLC6toF" TargetMode="External"/><Relationship Id="rId1416" Type="http://schemas.openxmlformats.org/officeDocument/2006/relationships/hyperlink" Target="https://talan.bank.gov.ua/get-user-certificate/J5325dpdJeGRN53Lh5Qc" TargetMode="External"/><Relationship Id="rId1623" Type="http://schemas.openxmlformats.org/officeDocument/2006/relationships/hyperlink" Target="https://talan.bank.gov.ua/get-user-certificate/J5325XZK840cfujIHYiC" TargetMode="External"/><Relationship Id="rId1830" Type="http://schemas.openxmlformats.org/officeDocument/2006/relationships/hyperlink" Target="https://talan.bank.gov.ua/get-user-certificate/J5325L5PS059u5TPDvf7" TargetMode="External"/><Relationship Id="rId3588" Type="http://schemas.openxmlformats.org/officeDocument/2006/relationships/hyperlink" Target="https://talan.bank.gov.ua/get-user-certificate/J5325zhQSZHhkbYGCvPe" TargetMode="External"/><Relationship Id="rId3795" Type="http://schemas.openxmlformats.org/officeDocument/2006/relationships/hyperlink" Target="https://talan.bank.gov.ua/get-user-certificate/J5325WYCUzWL0E6vHwjZ" TargetMode="External"/><Relationship Id="rId2397" Type="http://schemas.openxmlformats.org/officeDocument/2006/relationships/hyperlink" Target="https://talan.bank.gov.ua/get-user-certificate/J5325LhT3zyi943KG9ge" TargetMode="External"/><Relationship Id="rId3448" Type="http://schemas.openxmlformats.org/officeDocument/2006/relationships/hyperlink" Target="https://talan.bank.gov.ua/get-user-certificate/J5325N9WZrm9zIFqFNJb" TargetMode="External"/><Relationship Id="rId3655" Type="http://schemas.openxmlformats.org/officeDocument/2006/relationships/hyperlink" Target="https://talan.bank.gov.ua/get-user-certificate/J5325lM0IzXSTzZQvtNu" TargetMode="External"/><Relationship Id="rId3862" Type="http://schemas.openxmlformats.org/officeDocument/2006/relationships/hyperlink" Target="https://talan.bank.gov.ua/get-user-certificate/J53256XdLZto2r0fJemF" TargetMode="External"/><Relationship Id="rId369" Type="http://schemas.openxmlformats.org/officeDocument/2006/relationships/hyperlink" Target="https://talan.bank.gov.ua/get-user-certificate/J5325DnUl4hpe4hXZ4F2" TargetMode="External"/><Relationship Id="rId576" Type="http://schemas.openxmlformats.org/officeDocument/2006/relationships/hyperlink" Target="https://talan.bank.gov.ua/get-user-certificate/J5325ZEF9HLUSwx9_NwE" TargetMode="External"/><Relationship Id="rId783" Type="http://schemas.openxmlformats.org/officeDocument/2006/relationships/hyperlink" Target="https://talan.bank.gov.ua/get-user-certificate/J5325fOA9KCtO14QCUh4" TargetMode="External"/><Relationship Id="rId990" Type="http://schemas.openxmlformats.org/officeDocument/2006/relationships/hyperlink" Target="https://talan.bank.gov.ua/get-user-certificate/J5325m6saalioFHehC3M" TargetMode="External"/><Relationship Id="rId2257" Type="http://schemas.openxmlformats.org/officeDocument/2006/relationships/hyperlink" Target="https://talan.bank.gov.ua/get-user-certificate/J5325OXxkNbkzNx8GOl-" TargetMode="External"/><Relationship Id="rId2464" Type="http://schemas.openxmlformats.org/officeDocument/2006/relationships/hyperlink" Target="https://talan.bank.gov.ua/get-user-certificate/J5325e16K0qNORZoOE2q" TargetMode="External"/><Relationship Id="rId2671" Type="http://schemas.openxmlformats.org/officeDocument/2006/relationships/hyperlink" Target="https://talan.bank.gov.ua/get-user-certificate/J53259g9Tg8Q0_rIFeHG" TargetMode="External"/><Relationship Id="rId3308" Type="http://schemas.openxmlformats.org/officeDocument/2006/relationships/hyperlink" Target="https://talan.bank.gov.ua/get-user-certificate/J5325zDIg8_0LjQDZclS" TargetMode="External"/><Relationship Id="rId3515" Type="http://schemas.openxmlformats.org/officeDocument/2006/relationships/hyperlink" Target="https://talan.bank.gov.ua/get-user-certificate/J5325xPG1OH8INJdwJ-H" TargetMode="External"/><Relationship Id="rId229" Type="http://schemas.openxmlformats.org/officeDocument/2006/relationships/hyperlink" Target="https://talan.bank.gov.ua/get-user-certificate/J53252TnBM1nWM6xfCtb" TargetMode="External"/><Relationship Id="rId436" Type="http://schemas.openxmlformats.org/officeDocument/2006/relationships/hyperlink" Target="https://talan.bank.gov.ua/get-user-certificate/J5325T-k-2WRKOhPbfT8" TargetMode="External"/><Relationship Id="rId643" Type="http://schemas.openxmlformats.org/officeDocument/2006/relationships/hyperlink" Target="https://talan.bank.gov.ua/get-user-certificate/J5325BMFl66Tw6KVY6j1" TargetMode="External"/><Relationship Id="rId1066" Type="http://schemas.openxmlformats.org/officeDocument/2006/relationships/hyperlink" Target="https://talan.bank.gov.ua/get-user-certificate/J5325szFNay5g77b437e" TargetMode="External"/><Relationship Id="rId1273" Type="http://schemas.openxmlformats.org/officeDocument/2006/relationships/hyperlink" Target="https://talan.bank.gov.ua/get-user-certificate/J5325ke36jxOtlHplcSE" TargetMode="External"/><Relationship Id="rId1480" Type="http://schemas.openxmlformats.org/officeDocument/2006/relationships/hyperlink" Target="https://talan.bank.gov.ua/get-user-certificate/J5325poKJLBVnhLAODTm" TargetMode="External"/><Relationship Id="rId2117" Type="http://schemas.openxmlformats.org/officeDocument/2006/relationships/hyperlink" Target="https://talan.bank.gov.ua/get-user-certificate/J53250oUaf8VFnJOLRlp" TargetMode="External"/><Relationship Id="rId2324" Type="http://schemas.openxmlformats.org/officeDocument/2006/relationships/hyperlink" Target="https://talan.bank.gov.ua/get-user-certificate/J5325rE85dqDY5K7lpL_" TargetMode="External"/><Relationship Id="rId3722" Type="http://schemas.openxmlformats.org/officeDocument/2006/relationships/hyperlink" Target="https://talan.bank.gov.ua/get-user-certificate/J5325U0auoejlWwWvlI6" TargetMode="External"/><Relationship Id="rId850" Type="http://schemas.openxmlformats.org/officeDocument/2006/relationships/hyperlink" Target="https://talan.bank.gov.ua/get-user-certificate/J5325RIFSe8yzO4t4vhO" TargetMode="External"/><Relationship Id="rId1133" Type="http://schemas.openxmlformats.org/officeDocument/2006/relationships/hyperlink" Target="https://talan.bank.gov.ua/get-user-certificate/J5325Mc6hG0VE2SCNMez" TargetMode="External"/><Relationship Id="rId2531" Type="http://schemas.openxmlformats.org/officeDocument/2006/relationships/hyperlink" Target="https://talan.bank.gov.ua/get-user-certificate/J53257Faz9ndfBcGpjeL" TargetMode="External"/><Relationship Id="rId503" Type="http://schemas.openxmlformats.org/officeDocument/2006/relationships/hyperlink" Target="https://talan.bank.gov.ua/get-user-certificate/J5325lz_Z8dLul1bgpp7" TargetMode="External"/><Relationship Id="rId710" Type="http://schemas.openxmlformats.org/officeDocument/2006/relationships/hyperlink" Target="https://talan.bank.gov.ua/get-user-certificate/J5325iDUhtCeeJikXL78" TargetMode="External"/><Relationship Id="rId1340" Type="http://schemas.openxmlformats.org/officeDocument/2006/relationships/hyperlink" Target="https://talan.bank.gov.ua/get-user-certificate/J5325fTk7flkb7-R3mAO" TargetMode="External"/><Relationship Id="rId3098" Type="http://schemas.openxmlformats.org/officeDocument/2006/relationships/hyperlink" Target="https://talan.bank.gov.ua/get-user-certificate/J5325UGKSii8HqFTYM4h" TargetMode="External"/><Relationship Id="rId1200" Type="http://schemas.openxmlformats.org/officeDocument/2006/relationships/hyperlink" Target="https://talan.bank.gov.ua/get-user-certificate/J5325dVI29Ls5puHtR0b" TargetMode="External"/><Relationship Id="rId4149" Type="http://schemas.openxmlformats.org/officeDocument/2006/relationships/hyperlink" Target="https://talan.bank.gov.ua/get-user-certificate/J5325P_ZVu6jEtTfnjP1" TargetMode="External"/><Relationship Id="rId3165" Type="http://schemas.openxmlformats.org/officeDocument/2006/relationships/hyperlink" Target="https://talan.bank.gov.ua/get-user-certificate/J5325rFPpfIp2xUUj6Y5" TargetMode="External"/><Relationship Id="rId3372" Type="http://schemas.openxmlformats.org/officeDocument/2006/relationships/hyperlink" Target="https://talan.bank.gov.ua/get-user-certificate/J5325wHr2Sa54Sen3HIm" TargetMode="External"/><Relationship Id="rId4009" Type="http://schemas.openxmlformats.org/officeDocument/2006/relationships/hyperlink" Target="https://talan.bank.gov.ua/get-user-certificate/J5325aTXBcwC5FgG2SRT" TargetMode="External"/><Relationship Id="rId4216" Type="http://schemas.openxmlformats.org/officeDocument/2006/relationships/hyperlink" Target="https://talan.bank.gov.ua/get-user-certificate/lHoZPd1vuZ0-qe_ECh_o" TargetMode="External"/><Relationship Id="rId293" Type="http://schemas.openxmlformats.org/officeDocument/2006/relationships/hyperlink" Target="https://talan.bank.gov.ua/get-user-certificate/J53250KDXgGx9p7ceFgU" TargetMode="External"/><Relationship Id="rId2181" Type="http://schemas.openxmlformats.org/officeDocument/2006/relationships/hyperlink" Target="https://talan.bank.gov.ua/get-user-certificate/J53258Rbso7bltM9eenX" TargetMode="External"/><Relationship Id="rId3025" Type="http://schemas.openxmlformats.org/officeDocument/2006/relationships/hyperlink" Target="https://talan.bank.gov.ua/get-user-certificate/J5325zY-U6VkyvEg6Zd3" TargetMode="External"/><Relationship Id="rId3232" Type="http://schemas.openxmlformats.org/officeDocument/2006/relationships/hyperlink" Target="https://talan.bank.gov.ua/get-user-certificate/J5325BmN8SJc3We9_kQ-" TargetMode="External"/><Relationship Id="rId153" Type="http://schemas.openxmlformats.org/officeDocument/2006/relationships/hyperlink" Target="https://talan.bank.gov.ua/get-user-certificate/J5325-SLzIU2qeucrsJI" TargetMode="External"/><Relationship Id="rId360" Type="http://schemas.openxmlformats.org/officeDocument/2006/relationships/hyperlink" Target="https://talan.bank.gov.ua/get-user-certificate/J5325tb5EqhR-FwnLdYM" TargetMode="External"/><Relationship Id="rId2041" Type="http://schemas.openxmlformats.org/officeDocument/2006/relationships/hyperlink" Target="https://talan.bank.gov.ua/get-user-certificate/J5325aZAYT5rDSQzOTJm" TargetMode="External"/><Relationship Id="rId220" Type="http://schemas.openxmlformats.org/officeDocument/2006/relationships/hyperlink" Target="https://talan.bank.gov.ua/get-user-certificate/J5325PlnHp1dLTHdk1CH" TargetMode="External"/><Relationship Id="rId2998" Type="http://schemas.openxmlformats.org/officeDocument/2006/relationships/hyperlink" Target="https://talan.bank.gov.ua/get-user-certificate/J5325x1S9oiY9ABagncW" TargetMode="External"/><Relationship Id="rId2858" Type="http://schemas.openxmlformats.org/officeDocument/2006/relationships/hyperlink" Target="https://talan.bank.gov.ua/get-user-certificate/J5325tn6vP2JgPATkbaP" TargetMode="External"/><Relationship Id="rId3909" Type="http://schemas.openxmlformats.org/officeDocument/2006/relationships/hyperlink" Target="https://talan.bank.gov.ua/get-user-certificate/J5325fFpcZZQlGWBUVkw" TargetMode="External"/><Relationship Id="rId4073" Type="http://schemas.openxmlformats.org/officeDocument/2006/relationships/hyperlink" Target="https://talan.bank.gov.ua/get-user-certificate/J5325VAAnK-tmt24OQSw" TargetMode="External"/><Relationship Id="rId99" Type="http://schemas.openxmlformats.org/officeDocument/2006/relationships/hyperlink" Target="https://talan.bank.gov.ua/get-user-certificate/J5325Qm2uKGcPYdPGprB" TargetMode="External"/><Relationship Id="rId1667" Type="http://schemas.openxmlformats.org/officeDocument/2006/relationships/hyperlink" Target="https://talan.bank.gov.ua/get-user-certificate/J5325ka7ziZuxSI_a5Hg" TargetMode="External"/><Relationship Id="rId1874" Type="http://schemas.openxmlformats.org/officeDocument/2006/relationships/hyperlink" Target="https://talan.bank.gov.ua/get-user-certificate/J5325JQuR2NjY1qDgPnE" TargetMode="External"/><Relationship Id="rId2718" Type="http://schemas.openxmlformats.org/officeDocument/2006/relationships/hyperlink" Target="https://talan.bank.gov.ua/get-user-certificate/J5325ZgfpKnN8jBN0Tfx" TargetMode="External"/><Relationship Id="rId2925" Type="http://schemas.openxmlformats.org/officeDocument/2006/relationships/hyperlink" Target="https://talan.bank.gov.ua/get-user-certificate/J5325fcak3J_A3uPi3rk" TargetMode="External"/><Relationship Id="rId1527" Type="http://schemas.openxmlformats.org/officeDocument/2006/relationships/hyperlink" Target="https://talan.bank.gov.ua/get-user-certificate/J5325ObeQxscQVa9ELLD" TargetMode="External"/><Relationship Id="rId1734" Type="http://schemas.openxmlformats.org/officeDocument/2006/relationships/hyperlink" Target="https://talan.bank.gov.ua/get-user-certificate/J5325wF5AmGpGC1hMvjN" TargetMode="External"/><Relationship Id="rId1941" Type="http://schemas.openxmlformats.org/officeDocument/2006/relationships/hyperlink" Target="https://talan.bank.gov.ua/get-user-certificate/J5325PsjA1umWMhQ9B6V" TargetMode="External"/><Relationship Id="rId4140" Type="http://schemas.openxmlformats.org/officeDocument/2006/relationships/hyperlink" Target="https://talan.bank.gov.ua/get-user-certificate/J5325RRzNeOzuHGu5S0x" TargetMode="External"/><Relationship Id="rId26" Type="http://schemas.openxmlformats.org/officeDocument/2006/relationships/hyperlink" Target="https://talan.bank.gov.ua/get-user-certificate/J5325EZuaGRjrooYBE27" TargetMode="External"/><Relationship Id="rId3699" Type="http://schemas.openxmlformats.org/officeDocument/2006/relationships/hyperlink" Target="https://talan.bank.gov.ua/get-user-certificate/J5325uFdBb1MhdeX7io0" TargetMode="External"/><Relationship Id="rId4000" Type="http://schemas.openxmlformats.org/officeDocument/2006/relationships/hyperlink" Target="https://talan.bank.gov.ua/get-user-certificate/J5325SZcTZfKiXyJMfPv" TargetMode="External"/><Relationship Id="rId1801" Type="http://schemas.openxmlformats.org/officeDocument/2006/relationships/hyperlink" Target="https://talan.bank.gov.ua/get-user-certificate/J5325otKjxivKupeuqki" TargetMode="External"/><Relationship Id="rId3559" Type="http://schemas.openxmlformats.org/officeDocument/2006/relationships/hyperlink" Target="https://talan.bank.gov.ua/get-user-certificate/J5325K_qjTX9Vufp7POZ" TargetMode="External"/><Relationship Id="rId687" Type="http://schemas.openxmlformats.org/officeDocument/2006/relationships/hyperlink" Target="https://talan.bank.gov.ua/get-user-certificate/J5325vM-1ebFcCRkLonx" TargetMode="External"/><Relationship Id="rId2368" Type="http://schemas.openxmlformats.org/officeDocument/2006/relationships/hyperlink" Target="https://talan.bank.gov.ua/get-user-certificate/J5325c-e6BmiPXBMZCG1" TargetMode="External"/><Relationship Id="rId3766" Type="http://schemas.openxmlformats.org/officeDocument/2006/relationships/hyperlink" Target="https://talan.bank.gov.ua/get-user-certificate/J5325HZnb3c9AdmMhXbS" TargetMode="External"/><Relationship Id="rId3973" Type="http://schemas.openxmlformats.org/officeDocument/2006/relationships/hyperlink" Target="https://talan.bank.gov.ua/get-user-certificate/J5325jjREe2wFlP5vhIK" TargetMode="External"/><Relationship Id="rId894" Type="http://schemas.openxmlformats.org/officeDocument/2006/relationships/hyperlink" Target="https://talan.bank.gov.ua/get-user-certificate/J5325OJIhE1yYmgdG30S" TargetMode="External"/><Relationship Id="rId1177" Type="http://schemas.openxmlformats.org/officeDocument/2006/relationships/hyperlink" Target="https://talan.bank.gov.ua/get-user-certificate/J5325eT45oAnQJaP1_F2" TargetMode="External"/><Relationship Id="rId2575" Type="http://schemas.openxmlformats.org/officeDocument/2006/relationships/hyperlink" Target="https://talan.bank.gov.ua/get-user-certificate/J5325u2tc-QjWfVdC_Y3" TargetMode="External"/><Relationship Id="rId2782" Type="http://schemas.openxmlformats.org/officeDocument/2006/relationships/hyperlink" Target="https://talan.bank.gov.ua/get-user-certificate/J53253txA31H7P2ORrMC" TargetMode="External"/><Relationship Id="rId3419" Type="http://schemas.openxmlformats.org/officeDocument/2006/relationships/hyperlink" Target="https://talan.bank.gov.ua/get-user-certificate/J53254R1nOqKPyDScWmX" TargetMode="External"/><Relationship Id="rId3626" Type="http://schemas.openxmlformats.org/officeDocument/2006/relationships/hyperlink" Target="https://talan.bank.gov.ua/get-user-certificate/J5325i8oeUO3D8KWL6eU" TargetMode="External"/><Relationship Id="rId3833" Type="http://schemas.openxmlformats.org/officeDocument/2006/relationships/hyperlink" Target="https://talan.bank.gov.ua/get-user-certificate/J5325OWhGzIYt_gNA9vg" TargetMode="External"/><Relationship Id="rId547" Type="http://schemas.openxmlformats.org/officeDocument/2006/relationships/hyperlink" Target="https://talan.bank.gov.ua/get-user-certificate/J5325ab2rVTxelePv73i" TargetMode="External"/><Relationship Id="rId754" Type="http://schemas.openxmlformats.org/officeDocument/2006/relationships/hyperlink" Target="https://talan.bank.gov.ua/get-user-certificate/J5325rDT2JFofEaw0Pjj" TargetMode="External"/><Relationship Id="rId961" Type="http://schemas.openxmlformats.org/officeDocument/2006/relationships/hyperlink" Target="https://talan.bank.gov.ua/get-user-certificate/J5325-LuzjxDJPtOHhU_" TargetMode="External"/><Relationship Id="rId1384" Type="http://schemas.openxmlformats.org/officeDocument/2006/relationships/hyperlink" Target="https://talan.bank.gov.ua/get-user-certificate/J5325OhfvasmlfCfHTwe" TargetMode="External"/><Relationship Id="rId1591" Type="http://schemas.openxmlformats.org/officeDocument/2006/relationships/hyperlink" Target="https://talan.bank.gov.ua/get-user-certificate/J5325hmvS68-1FzqAbgE" TargetMode="External"/><Relationship Id="rId2228" Type="http://schemas.openxmlformats.org/officeDocument/2006/relationships/hyperlink" Target="https://talan.bank.gov.ua/get-user-certificate/J5325wVEv5SyiC9nl9uh" TargetMode="External"/><Relationship Id="rId2435" Type="http://schemas.openxmlformats.org/officeDocument/2006/relationships/hyperlink" Target="https://talan.bank.gov.ua/get-user-certificate/J53253X5O975JZO380kI" TargetMode="External"/><Relationship Id="rId2642" Type="http://schemas.openxmlformats.org/officeDocument/2006/relationships/hyperlink" Target="https://talan.bank.gov.ua/get-user-certificate/J5325-Yj0EvW08ychpeO" TargetMode="External"/><Relationship Id="rId3900" Type="http://schemas.openxmlformats.org/officeDocument/2006/relationships/hyperlink" Target="https://talan.bank.gov.ua/get-user-certificate/J5325kWrlscyos1GwkXT" TargetMode="External"/><Relationship Id="rId90" Type="http://schemas.openxmlformats.org/officeDocument/2006/relationships/hyperlink" Target="https://talan.bank.gov.ua/get-user-certificate/J5325OC9FFczh_H4CPVq" TargetMode="External"/><Relationship Id="rId407" Type="http://schemas.openxmlformats.org/officeDocument/2006/relationships/hyperlink" Target="https://talan.bank.gov.ua/get-user-certificate/J5325g7aX7U3UTOAHyVf" TargetMode="External"/><Relationship Id="rId614" Type="http://schemas.openxmlformats.org/officeDocument/2006/relationships/hyperlink" Target="https://talan.bank.gov.ua/get-user-certificate/J5325C1UdswyadiYPYSJ" TargetMode="External"/><Relationship Id="rId821" Type="http://schemas.openxmlformats.org/officeDocument/2006/relationships/hyperlink" Target="https://talan.bank.gov.ua/get-user-certificate/J5325crnX997G6n1OXff" TargetMode="External"/><Relationship Id="rId1037" Type="http://schemas.openxmlformats.org/officeDocument/2006/relationships/hyperlink" Target="https://talan.bank.gov.ua/get-user-certificate/J5325GTaial3hhbGVDQj" TargetMode="External"/><Relationship Id="rId1244" Type="http://schemas.openxmlformats.org/officeDocument/2006/relationships/hyperlink" Target="https://talan.bank.gov.ua/get-user-certificate/J5325sg_pC9jq5tY9N60" TargetMode="External"/><Relationship Id="rId1451" Type="http://schemas.openxmlformats.org/officeDocument/2006/relationships/hyperlink" Target="https://talan.bank.gov.ua/get-user-certificate/J5325b_IVRpN5A9lCWvb" TargetMode="External"/><Relationship Id="rId2502" Type="http://schemas.openxmlformats.org/officeDocument/2006/relationships/hyperlink" Target="https://talan.bank.gov.ua/get-user-certificate/J5325IMUDInoBwZYNwJs" TargetMode="External"/><Relationship Id="rId1104" Type="http://schemas.openxmlformats.org/officeDocument/2006/relationships/hyperlink" Target="https://talan.bank.gov.ua/get-user-certificate/J5325loiwEfq__jzZD6j" TargetMode="External"/><Relationship Id="rId1311" Type="http://schemas.openxmlformats.org/officeDocument/2006/relationships/hyperlink" Target="https://talan.bank.gov.ua/get-user-certificate/J5325gtS8iFMrfeYbYVM" TargetMode="External"/><Relationship Id="rId3069" Type="http://schemas.openxmlformats.org/officeDocument/2006/relationships/hyperlink" Target="https://talan.bank.gov.ua/get-user-certificate/J5325Aj5234O8OTnUG9J" TargetMode="External"/><Relationship Id="rId3276" Type="http://schemas.openxmlformats.org/officeDocument/2006/relationships/hyperlink" Target="https://talan.bank.gov.ua/get-user-certificate/J5325Dqv8g81Gk9ETRbm" TargetMode="External"/><Relationship Id="rId3483" Type="http://schemas.openxmlformats.org/officeDocument/2006/relationships/hyperlink" Target="https://talan.bank.gov.ua/get-user-certificate/J5325aVdkFeG0ZOGu57t" TargetMode="External"/><Relationship Id="rId3690" Type="http://schemas.openxmlformats.org/officeDocument/2006/relationships/hyperlink" Target="https://talan.bank.gov.ua/get-user-certificate/J5325wdLeLNG_SoyWtvU" TargetMode="External"/><Relationship Id="rId197" Type="http://schemas.openxmlformats.org/officeDocument/2006/relationships/hyperlink" Target="https://talan.bank.gov.ua/get-user-certificate/J5325actwz0kvIcECOSf" TargetMode="External"/><Relationship Id="rId2085" Type="http://schemas.openxmlformats.org/officeDocument/2006/relationships/hyperlink" Target="https://talan.bank.gov.ua/get-user-certificate/J5325WLCD7coB5xCLfXK" TargetMode="External"/><Relationship Id="rId2292" Type="http://schemas.openxmlformats.org/officeDocument/2006/relationships/hyperlink" Target="https://talan.bank.gov.ua/get-user-certificate/J53254gOFlk4St7GeFxX" TargetMode="External"/><Relationship Id="rId3136" Type="http://schemas.openxmlformats.org/officeDocument/2006/relationships/hyperlink" Target="https://talan.bank.gov.ua/get-user-certificate/J5325coBAbnhYQsV1ENU" TargetMode="External"/><Relationship Id="rId3343" Type="http://schemas.openxmlformats.org/officeDocument/2006/relationships/hyperlink" Target="https://talan.bank.gov.ua/get-user-certificate/J53257wokrHmT9ILMHdm" TargetMode="External"/><Relationship Id="rId264" Type="http://schemas.openxmlformats.org/officeDocument/2006/relationships/hyperlink" Target="https://talan.bank.gov.ua/get-user-certificate/J5325I-qlaBbtQsqJFt4" TargetMode="External"/><Relationship Id="rId471" Type="http://schemas.openxmlformats.org/officeDocument/2006/relationships/hyperlink" Target="https://talan.bank.gov.ua/get-user-certificate/J5325h5KWdwnJ_8bCXQv" TargetMode="External"/><Relationship Id="rId2152" Type="http://schemas.openxmlformats.org/officeDocument/2006/relationships/hyperlink" Target="https://talan.bank.gov.ua/get-user-certificate/J5325CvqU0JnW5PDVfPC" TargetMode="External"/><Relationship Id="rId3550" Type="http://schemas.openxmlformats.org/officeDocument/2006/relationships/hyperlink" Target="https://talan.bank.gov.ua/get-user-certificate/J5325tr2fa6Bb-mo3Oem" TargetMode="External"/><Relationship Id="rId124" Type="http://schemas.openxmlformats.org/officeDocument/2006/relationships/hyperlink" Target="https://talan.bank.gov.ua/get-user-certificate/J5325kgt1mzbHuluIr-L" TargetMode="External"/><Relationship Id="rId3203" Type="http://schemas.openxmlformats.org/officeDocument/2006/relationships/hyperlink" Target="https://talan.bank.gov.ua/get-user-certificate/J5325zB8Lq3ewjUvtEmA" TargetMode="External"/><Relationship Id="rId3410" Type="http://schemas.openxmlformats.org/officeDocument/2006/relationships/hyperlink" Target="https://talan.bank.gov.ua/get-user-certificate/J53254HBx3389BekAssb" TargetMode="External"/><Relationship Id="rId331" Type="http://schemas.openxmlformats.org/officeDocument/2006/relationships/hyperlink" Target="https://talan.bank.gov.ua/get-user-certificate/J5325IEqtwwAFeROPW_j" TargetMode="External"/><Relationship Id="rId2012" Type="http://schemas.openxmlformats.org/officeDocument/2006/relationships/hyperlink" Target="https://talan.bank.gov.ua/get-user-certificate/J53258Y4rAUilgwT08x3" TargetMode="External"/><Relationship Id="rId2969" Type="http://schemas.openxmlformats.org/officeDocument/2006/relationships/hyperlink" Target="https://talan.bank.gov.ua/get-user-certificate/J5325mrKWHKNHHj8Ul44" TargetMode="External"/><Relationship Id="rId1778" Type="http://schemas.openxmlformats.org/officeDocument/2006/relationships/hyperlink" Target="https://talan.bank.gov.ua/get-user-certificate/J5325SgsEIH4ZzRWK_ez" TargetMode="External"/><Relationship Id="rId1985" Type="http://schemas.openxmlformats.org/officeDocument/2006/relationships/hyperlink" Target="https://talan.bank.gov.ua/get-user-certificate/J5325mIlLXwqTrNw2PL2" TargetMode="External"/><Relationship Id="rId2829" Type="http://schemas.openxmlformats.org/officeDocument/2006/relationships/hyperlink" Target="https://talan.bank.gov.ua/get-user-certificate/J5325wHO3CuiJt8Ml_MG" TargetMode="External"/><Relationship Id="rId4184" Type="http://schemas.openxmlformats.org/officeDocument/2006/relationships/hyperlink" Target="https://talan.bank.gov.ua/get-user-certificate/TbxZWbIqRR8rYPcJoMfH" TargetMode="External"/><Relationship Id="rId1638" Type="http://schemas.openxmlformats.org/officeDocument/2006/relationships/hyperlink" Target="https://talan.bank.gov.ua/get-user-certificate/J5325X5y27bDuDP4Wtun" TargetMode="External"/><Relationship Id="rId4044" Type="http://schemas.openxmlformats.org/officeDocument/2006/relationships/hyperlink" Target="https://talan.bank.gov.ua/get-user-certificate/J5325Erg1-lFqSxKFv4d" TargetMode="External"/><Relationship Id="rId4251" Type="http://schemas.openxmlformats.org/officeDocument/2006/relationships/hyperlink" Target="https://talan.bank.gov.ua/get-user-certificate/CYWPHjF0eW7STbe9wHcX" TargetMode="External"/><Relationship Id="rId1845" Type="http://schemas.openxmlformats.org/officeDocument/2006/relationships/hyperlink" Target="https://talan.bank.gov.ua/get-user-certificate/J5325Ke5t9z6Wk7wrx1g" TargetMode="External"/><Relationship Id="rId3060" Type="http://schemas.openxmlformats.org/officeDocument/2006/relationships/hyperlink" Target="https://talan.bank.gov.ua/get-user-certificate/J5325Wqxgl0LWz7WuFAa" TargetMode="External"/><Relationship Id="rId4111" Type="http://schemas.openxmlformats.org/officeDocument/2006/relationships/hyperlink" Target="https://talan.bank.gov.ua/get-user-certificate/J5325bF0yg18iGf0hUJ4" TargetMode="External"/><Relationship Id="rId1705" Type="http://schemas.openxmlformats.org/officeDocument/2006/relationships/hyperlink" Target="https://talan.bank.gov.ua/get-user-certificate/J5325zPLyJgPV7hH9y3r" TargetMode="External"/><Relationship Id="rId1912" Type="http://schemas.openxmlformats.org/officeDocument/2006/relationships/hyperlink" Target="https://talan.bank.gov.ua/get-user-certificate/J5325VV9URsPyd4g2-Qo" TargetMode="External"/><Relationship Id="rId3877" Type="http://schemas.openxmlformats.org/officeDocument/2006/relationships/hyperlink" Target="https://talan.bank.gov.ua/get-user-certificate/J53250366-4NqLjmbOAZ" TargetMode="External"/><Relationship Id="rId798" Type="http://schemas.openxmlformats.org/officeDocument/2006/relationships/hyperlink" Target="https://talan.bank.gov.ua/get-user-certificate/J5325R8AXI3ovndC6kUG" TargetMode="External"/><Relationship Id="rId2479" Type="http://schemas.openxmlformats.org/officeDocument/2006/relationships/hyperlink" Target="https://talan.bank.gov.ua/get-user-certificate/J5325p_bReroR28BlVHx" TargetMode="External"/><Relationship Id="rId2686" Type="http://schemas.openxmlformats.org/officeDocument/2006/relationships/hyperlink" Target="https://talan.bank.gov.ua/get-user-certificate/J5325FCM3db1DfaEhNRr" TargetMode="External"/><Relationship Id="rId2893" Type="http://schemas.openxmlformats.org/officeDocument/2006/relationships/hyperlink" Target="https://talan.bank.gov.ua/get-user-certificate/J53255jTiG8_aJcoCLeI" TargetMode="External"/><Relationship Id="rId3737" Type="http://schemas.openxmlformats.org/officeDocument/2006/relationships/hyperlink" Target="https://talan.bank.gov.ua/get-user-certificate/J53259bpiKeEj81ou7lA" TargetMode="External"/><Relationship Id="rId3944" Type="http://schemas.openxmlformats.org/officeDocument/2006/relationships/hyperlink" Target="https://talan.bank.gov.ua/get-user-certificate/J5325jWK2sQa0pux1yk-" TargetMode="External"/><Relationship Id="rId658" Type="http://schemas.openxmlformats.org/officeDocument/2006/relationships/hyperlink" Target="https://talan.bank.gov.ua/get-user-certificate/J53253GSEca7vdqPLjZU" TargetMode="External"/><Relationship Id="rId865" Type="http://schemas.openxmlformats.org/officeDocument/2006/relationships/hyperlink" Target="https://talan.bank.gov.ua/get-user-certificate/J5325-f2biMivJ1nx87Q" TargetMode="External"/><Relationship Id="rId1288" Type="http://schemas.openxmlformats.org/officeDocument/2006/relationships/hyperlink" Target="https://talan.bank.gov.ua/get-user-certificate/J5325BgvOFmNdr8BVGSz" TargetMode="External"/><Relationship Id="rId1495" Type="http://schemas.openxmlformats.org/officeDocument/2006/relationships/hyperlink" Target="https://talan.bank.gov.ua/get-user-certificate/J53252S-wntYb6A9EWgP" TargetMode="External"/><Relationship Id="rId2339" Type="http://schemas.openxmlformats.org/officeDocument/2006/relationships/hyperlink" Target="https://talan.bank.gov.ua/get-user-certificate/J5325XFX8ZNe5dVXzcyd" TargetMode="External"/><Relationship Id="rId2546" Type="http://schemas.openxmlformats.org/officeDocument/2006/relationships/hyperlink" Target="https://talan.bank.gov.ua/get-user-certificate/J5325Cfu1B5p1nf90GhO" TargetMode="External"/><Relationship Id="rId2753" Type="http://schemas.openxmlformats.org/officeDocument/2006/relationships/hyperlink" Target="https://talan.bank.gov.ua/get-user-certificate/J5325YRPszBz-hqj9z7k" TargetMode="External"/><Relationship Id="rId2960" Type="http://schemas.openxmlformats.org/officeDocument/2006/relationships/hyperlink" Target="https://talan.bank.gov.ua/get-user-certificate/J53257kMKBQ7E_ol-iEn" TargetMode="External"/><Relationship Id="rId3804" Type="http://schemas.openxmlformats.org/officeDocument/2006/relationships/hyperlink" Target="https://talan.bank.gov.ua/get-user-certificate/J5325XvTctIOBwvb-_Tb" TargetMode="External"/><Relationship Id="rId518" Type="http://schemas.openxmlformats.org/officeDocument/2006/relationships/hyperlink" Target="https://talan.bank.gov.ua/get-user-certificate/J5325o8Len3YskSfVOV9" TargetMode="External"/><Relationship Id="rId725" Type="http://schemas.openxmlformats.org/officeDocument/2006/relationships/hyperlink" Target="https://talan.bank.gov.ua/get-user-certificate/J5325LHkj1aerzJ7qjST" TargetMode="External"/><Relationship Id="rId932" Type="http://schemas.openxmlformats.org/officeDocument/2006/relationships/hyperlink" Target="https://talan.bank.gov.ua/get-user-certificate/J5325DkW64__fLSg6j6R" TargetMode="External"/><Relationship Id="rId1148" Type="http://schemas.openxmlformats.org/officeDocument/2006/relationships/hyperlink" Target="https://talan.bank.gov.ua/get-user-certificate/J5325dBTo1BsB_gfafx6" TargetMode="External"/><Relationship Id="rId1355" Type="http://schemas.openxmlformats.org/officeDocument/2006/relationships/hyperlink" Target="https://talan.bank.gov.ua/get-user-certificate/J5325RnvCXxkMi7bOS8z" TargetMode="External"/><Relationship Id="rId1562" Type="http://schemas.openxmlformats.org/officeDocument/2006/relationships/hyperlink" Target="https://talan.bank.gov.ua/get-user-certificate/J5325WC9excF1wbA1wM3" TargetMode="External"/><Relationship Id="rId2406" Type="http://schemas.openxmlformats.org/officeDocument/2006/relationships/hyperlink" Target="https://talan.bank.gov.ua/get-user-certificate/J532568eT5HSE34URyZt" TargetMode="External"/><Relationship Id="rId2613" Type="http://schemas.openxmlformats.org/officeDocument/2006/relationships/hyperlink" Target="https://talan.bank.gov.ua/get-user-certificate/J5325NKcgioeOp575jr0" TargetMode="External"/><Relationship Id="rId1008" Type="http://schemas.openxmlformats.org/officeDocument/2006/relationships/hyperlink" Target="https://talan.bank.gov.ua/get-user-certificate/J5325Q8PazExZacvKWT8" TargetMode="External"/><Relationship Id="rId1215" Type="http://schemas.openxmlformats.org/officeDocument/2006/relationships/hyperlink" Target="https://talan.bank.gov.ua/get-user-certificate/J5325eebmCE587Q1qZP_" TargetMode="External"/><Relationship Id="rId1422" Type="http://schemas.openxmlformats.org/officeDocument/2006/relationships/hyperlink" Target="https://talan.bank.gov.ua/get-user-certificate/J53251cZqdyKIimEL2V1" TargetMode="External"/><Relationship Id="rId2820" Type="http://schemas.openxmlformats.org/officeDocument/2006/relationships/hyperlink" Target="https://talan.bank.gov.ua/get-user-certificate/J5325KI4M-ELLms6Vt0j" TargetMode="External"/><Relationship Id="rId61" Type="http://schemas.openxmlformats.org/officeDocument/2006/relationships/hyperlink" Target="https://talan.bank.gov.ua/get-user-certificate/J5325392Fkk_glyPR_xw" TargetMode="External"/><Relationship Id="rId3387" Type="http://schemas.openxmlformats.org/officeDocument/2006/relationships/hyperlink" Target="https://talan.bank.gov.ua/get-user-certificate/J5325u4EmBO2WTM_w1ZB" TargetMode="External"/><Relationship Id="rId2196" Type="http://schemas.openxmlformats.org/officeDocument/2006/relationships/hyperlink" Target="https://talan.bank.gov.ua/get-user-certificate/J5325-auEroRwo6S3ZCM" TargetMode="External"/><Relationship Id="rId3594" Type="http://schemas.openxmlformats.org/officeDocument/2006/relationships/hyperlink" Target="https://talan.bank.gov.ua/get-user-certificate/J5325AekULW6lW2_32hi" TargetMode="External"/><Relationship Id="rId168" Type="http://schemas.openxmlformats.org/officeDocument/2006/relationships/hyperlink" Target="https://talan.bank.gov.ua/get-user-certificate/J5325Y0BLkaswH7wfUwF" TargetMode="External"/><Relationship Id="rId3247" Type="http://schemas.openxmlformats.org/officeDocument/2006/relationships/hyperlink" Target="https://talan.bank.gov.ua/get-user-certificate/J5325pPYQTHw2FR8Iznm" TargetMode="External"/><Relationship Id="rId3454" Type="http://schemas.openxmlformats.org/officeDocument/2006/relationships/hyperlink" Target="https://talan.bank.gov.ua/get-user-certificate/J53252_jQvQuAAWhT6IW" TargetMode="External"/><Relationship Id="rId3661" Type="http://schemas.openxmlformats.org/officeDocument/2006/relationships/hyperlink" Target="https://talan.bank.gov.ua/get-user-certificate/J5325mc06-wdvO-vnkD1" TargetMode="External"/><Relationship Id="rId375" Type="http://schemas.openxmlformats.org/officeDocument/2006/relationships/hyperlink" Target="https://talan.bank.gov.ua/get-user-certificate/J532560r8_G8CrVFs_P9" TargetMode="External"/><Relationship Id="rId582" Type="http://schemas.openxmlformats.org/officeDocument/2006/relationships/hyperlink" Target="https://talan.bank.gov.ua/get-user-certificate/J5325dchYtOLRWlHR7rF" TargetMode="External"/><Relationship Id="rId2056" Type="http://schemas.openxmlformats.org/officeDocument/2006/relationships/hyperlink" Target="https://talan.bank.gov.ua/get-user-certificate/J5325qsgGdDi3YyJb3nk" TargetMode="External"/><Relationship Id="rId2263" Type="http://schemas.openxmlformats.org/officeDocument/2006/relationships/hyperlink" Target="https://talan.bank.gov.ua/get-user-certificate/J5325zXKJnMRKhDag9kA" TargetMode="External"/><Relationship Id="rId2470" Type="http://schemas.openxmlformats.org/officeDocument/2006/relationships/hyperlink" Target="https://talan.bank.gov.ua/get-user-certificate/J5325VArrEan8PizCjyP" TargetMode="External"/><Relationship Id="rId3107" Type="http://schemas.openxmlformats.org/officeDocument/2006/relationships/hyperlink" Target="https://talan.bank.gov.ua/get-user-certificate/J5325Au9kBJ7Ta189I2F" TargetMode="External"/><Relationship Id="rId3314" Type="http://schemas.openxmlformats.org/officeDocument/2006/relationships/hyperlink" Target="https://talan.bank.gov.ua/get-user-certificate/J5325Hn1ApUJZHk9PI13" TargetMode="External"/><Relationship Id="rId3521" Type="http://schemas.openxmlformats.org/officeDocument/2006/relationships/hyperlink" Target="https://talan.bank.gov.ua/get-user-certificate/J5325hs_iUXINAcCXmJc" TargetMode="External"/><Relationship Id="rId235" Type="http://schemas.openxmlformats.org/officeDocument/2006/relationships/hyperlink" Target="https://talan.bank.gov.ua/get-user-certificate/J5325ik1Kh5E142IRYxJ" TargetMode="External"/><Relationship Id="rId442" Type="http://schemas.openxmlformats.org/officeDocument/2006/relationships/hyperlink" Target="https://talan.bank.gov.ua/get-user-certificate/J5325BUma1tQ8WMuq2qC" TargetMode="External"/><Relationship Id="rId1072" Type="http://schemas.openxmlformats.org/officeDocument/2006/relationships/hyperlink" Target="https://talan.bank.gov.ua/get-user-certificate/J53250C0GBVghRugfvQ5" TargetMode="External"/><Relationship Id="rId2123" Type="http://schemas.openxmlformats.org/officeDocument/2006/relationships/hyperlink" Target="https://talan.bank.gov.ua/get-user-certificate/J5325GV0GI7sNUwGowQP" TargetMode="External"/><Relationship Id="rId2330" Type="http://schemas.openxmlformats.org/officeDocument/2006/relationships/hyperlink" Target="https://talan.bank.gov.ua/get-user-certificate/J5325qZkegW5lFdMBHaC" TargetMode="External"/><Relationship Id="rId302" Type="http://schemas.openxmlformats.org/officeDocument/2006/relationships/hyperlink" Target="https://talan.bank.gov.ua/get-user-certificate/J5325pmjIU4LMmbl_-_W" TargetMode="External"/><Relationship Id="rId4088" Type="http://schemas.openxmlformats.org/officeDocument/2006/relationships/hyperlink" Target="https://talan.bank.gov.ua/get-user-certificate/J5325XDPwnAu9ItczfdR" TargetMode="External"/><Relationship Id="rId1889" Type="http://schemas.openxmlformats.org/officeDocument/2006/relationships/hyperlink" Target="https://talan.bank.gov.ua/get-user-certificate/J5325D49aup9CcN3YGDJ" TargetMode="External"/><Relationship Id="rId4155" Type="http://schemas.openxmlformats.org/officeDocument/2006/relationships/hyperlink" Target="https://talan.bank.gov.ua/get-user-certificate/J53258FlVpNaZih41c-H" TargetMode="External"/><Relationship Id="rId1749" Type="http://schemas.openxmlformats.org/officeDocument/2006/relationships/hyperlink" Target="https://talan.bank.gov.ua/get-user-certificate/J5325gU2jQASs_msRBcs" TargetMode="External"/><Relationship Id="rId1956" Type="http://schemas.openxmlformats.org/officeDocument/2006/relationships/hyperlink" Target="https://talan.bank.gov.ua/get-user-certificate/J5325aicHIJmXl6FIBlR" TargetMode="External"/><Relationship Id="rId3171" Type="http://schemas.openxmlformats.org/officeDocument/2006/relationships/hyperlink" Target="https://talan.bank.gov.ua/get-user-certificate/J5325yFqdH7HtzNTB6Cs" TargetMode="External"/><Relationship Id="rId4015" Type="http://schemas.openxmlformats.org/officeDocument/2006/relationships/hyperlink" Target="https://talan.bank.gov.ua/get-user-certificate/J5325CoWCYQyb4SStwMP" TargetMode="External"/><Relationship Id="rId1609" Type="http://schemas.openxmlformats.org/officeDocument/2006/relationships/hyperlink" Target="https://talan.bank.gov.ua/get-user-certificate/J5325kQ598UMBZkQ-utX" TargetMode="External"/><Relationship Id="rId1816" Type="http://schemas.openxmlformats.org/officeDocument/2006/relationships/hyperlink" Target="https://talan.bank.gov.ua/get-user-certificate/J5325EjNlZxoMgpO_ykL" TargetMode="External"/><Relationship Id="rId4222" Type="http://schemas.openxmlformats.org/officeDocument/2006/relationships/hyperlink" Target="https://talan.bank.gov.ua/get-user-certificate/CYWPH_76PjDySyWRQsD3" TargetMode="External"/><Relationship Id="rId3031" Type="http://schemas.openxmlformats.org/officeDocument/2006/relationships/hyperlink" Target="https://talan.bank.gov.ua/get-user-certificate/J5325VvnAN-oF4vlPAsL" TargetMode="External"/><Relationship Id="rId3988" Type="http://schemas.openxmlformats.org/officeDocument/2006/relationships/hyperlink" Target="https://talan.bank.gov.ua/get-user-certificate/J53256x24adwp5N72MIP" TargetMode="External"/><Relationship Id="rId2797" Type="http://schemas.openxmlformats.org/officeDocument/2006/relationships/hyperlink" Target="https://talan.bank.gov.ua/get-user-certificate/J5325NMOgdAxu1u3uNcS" TargetMode="External"/><Relationship Id="rId3848" Type="http://schemas.openxmlformats.org/officeDocument/2006/relationships/hyperlink" Target="https://talan.bank.gov.ua/get-user-certificate/J5325PTAKYslrHKEmBgZ" TargetMode="External"/><Relationship Id="rId769" Type="http://schemas.openxmlformats.org/officeDocument/2006/relationships/hyperlink" Target="https://talan.bank.gov.ua/get-user-certificate/J5325xC1Az0yOIV0aFuP" TargetMode="External"/><Relationship Id="rId976" Type="http://schemas.openxmlformats.org/officeDocument/2006/relationships/hyperlink" Target="https://talan.bank.gov.ua/get-user-certificate/J5325bePxLeLdzmCyGif" TargetMode="External"/><Relationship Id="rId1399" Type="http://schemas.openxmlformats.org/officeDocument/2006/relationships/hyperlink" Target="https://talan.bank.gov.ua/get-user-certificate/J5325vvpG_EG2_wIeyRL" TargetMode="External"/><Relationship Id="rId2657" Type="http://schemas.openxmlformats.org/officeDocument/2006/relationships/hyperlink" Target="https://talan.bank.gov.ua/get-user-certificate/J5325b2WgPUK5HIr97x8" TargetMode="External"/><Relationship Id="rId629" Type="http://schemas.openxmlformats.org/officeDocument/2006/relationships/hyperlink" Target="https://talan.bank.gov.ua/get-user-certificate/J5325K5F9qR1oQS65ak1" TargetMode="External"/><Relationship Id="rId1259" Type="http://schemas.openxmlformats.org/officeDocument/2006/relationships/hyperlink" Target="https://talan.bank.gov.ua/get-user-certificate/J5325JPjTYPFtOqBmenc" TargetMode="External"/><Relationship Id="rId1466" Type="http://schemas.openxmlformats.org/officeDocument/2006/relationships/hyperlink" Target="https://talan.bank.gov.ua/get-user-certificate/J5325HAkMf9foMDGDTgT" TargetMode="External"/><Relationship Id="rId2864" Type="http://schemas.openxmlformats.org/officeDocument/2006/relationships/hyperlink" Target="https://talan.bank.gov.ua/get-user-certificate/J53258d5lZ07_rZ7MK_H" TargetMode="External"/><Relationship Id="rId3708" Type="http://schemas.openxmlformats.org/officeDocument/2006/relationships/hyperlink" Target="https://talan.bank.gov.ua/get-user-certificate/J5325ou2dyN6TQOv5sPh" TargetMode="External"/><Relationship Id="rId3915" Type="http://schemas.openxmlformats.org/officeDocument/2006/relationships/hyperlink" Target="https://talan.bank.gov.ua/get-user-certificate/J5325e5Pd9fCfqh-e-be" TargetMode="External"/><Relationship Id="rId836" Type="http://schemas.openxmlformats.org/officeDocument/2006/relationships/hyperlink" Target="https://talan.bank.gov.ua/get-user-certificate/J5325evTFpX8WQMyicYp" TargetMode="External"/><Relationship Id="rId1119" Type="http://schemas.openxmlformats.org/officeDocument/2006/relationships/hyperlink" Target="https://talan.bank.gov.ua/get-user-certificate/J5325N1IInmHuDQINKll" TargetMode="External"/><Relationship Id="rId1673" Type="http://schemas.openxmlformats.org/officeDocument/2006/relationships/hyperlink" Target="https://talan.bank.gov.ua/get-user-certificate/J5325c7tU_O3znNR7yi4" TargetMode="External"/><Relationship Id="rId1880" Type="http://schemas.openxmlformats.org/officeDocument/2006/relationships/hyperlink" Target="https://talan.bank.gov.ua/get-user-certificate/J5325xrRVApIzNOEfHCQ" TargetMode="External"/><Relationship Id="rId2517" Type="http://schemas.openxmlformats.org/officeDocument/2006/relationships/hyperlink" Target="https://talan.bank.gov.ua/get-user-certificate/J53250UPjRXfnfR4SLOJ" TargetMode="External"/><Relationship Id="rId2724" Type="http://schemas.openxmlformats.org/officeDocument/2006/relationships/hyperlink" Target="https://talan.bank.gov.ua/get-user-certificate/J5325F4lFZLU0dOrnae3" TargetMode="External"/><Relationship Id="rId2931" Type="http://schemas.openxmlformats.org/officeDocument/2006/relationships/hyperlink" Target="https://talan.bank.gov.ua/get-user-certificate/J5325XEGdsmo8DuNCcsU" TargetMode="External"/><Relationship Id="rId903" Type="http://schemas.openxmlformats.org/officeDocument/2006/relationships/hyperlink" Target="https://talan.bank.gov.ua/get-user-certificate/J5325u1_YTF2C-Wby6-G" TargetMode="External"/><Relationship Id="rId1326" Type="http://schemas.openxmlformats.org/officeDocument/2006/relationships/hyperlink" Target="https://talan.bank.gov.ua/get-user-certificate/J5325F8XMUZXrakK7R3w" TargetMode="External"/><Relationship Id="rId1533" Type="http://schemas.openxmlformats.org/officeDocument/2006/relationships/hyperlink" Target="https://talan.bank.gov.ua/get-user-certificate/J5325pBu2EpiU0jsnVaz" TargetMode="External"/><Relationship Id="rId1740" Type="http://schemas.openxmlformats.org/officeDocument/2006/relationships/hyperlink" Target="https://talan.bank.gov.ua/get-user-certificate/J5325f962X6psnxoAtrQ" TargetMode="External"/><Relationship Id="rId32" Type="http://schemas.openxmlformats.org/officeDocument/2006/relationships/hyperlink" Target="https://talan.bank.gov.ua/get-user-certificate/J5325oXiHf5X0nVEG6hw" TargetMode="External"/><Relationship Id="rId1600" Type="http://schemas.openxmlformats.org/officeDocument/2006/relationships/hyperlink" Target="https://talan.bank.gov.ua/get-user-certificate/J5325qzT4P2EYDuoNqZ8" TargetMode="External"/><Relationship Id="rId3498" Type="http://schemas.openxmlformats.org/officeDocument/2006/relationships/hyperlink" Target="https://talan.bank.gov.ua/get-user-certificate/J53256qGdxhrhVp8FONW" TargetMode="External"/><Relationship Id="rId3358" Type="http://schemas.openxmlformats.org/officeDocument/2006/relationships/hyperlink" Target="https://talan.bank.gov.ua/get-user-certificate/J53253aYROZbtBnyhLnb" TargetMode="External"/><Relationship Id="rId3565" Type="http://schemas.openxmlformats.org/officeDocument/2006/relationships/hyperlink" Target="https://talan.bank.gov.ua/get-user-certificate/J5325HOD6LZJx0PjenlR" TargetMode="External"/><Relationship Id="rId3772" Type="http://schemas.openxmlformats.org/officeDocument/2006/relationships/hyperlink" Target="https://talan.bank.gov.ua/get-user-certificate/J5325t6k7pWKW5fnQvTN" TargetMode="External"/><Relationship Id="rId279" Type="http://schemas.openxmlformats.org/officeDocument/2006/relationships/hyperlink" Target="https://talan.bank.gov.ua/get-user-certificate/J53253kcz9ibeA_pIvtv" TargetMode="External"/><Relationship Id="rId486" Type="http://schemas.openxmlformats.org/officeDocument/2006/relationships/hyperlink" Target="https://talan.bank.gov.ua/get-user-certificate/J5325QPIvpNFFUpyrqia" TargetMode="External"/><Relationship Id="rId693" Type="http://schemas.openxmlformats.org/officeDocument/2006/relationships/hyperlink" Target="https://talan.bank.gov.ua/get-user-certificate/J53252w1LVyeXBoiAdiJ" TargetMode="External"/><Relationship Id="rId2167" Type="http://schemas.openxmlformats.org/officeDocument/2006/relationships/hyperlink" Target="https://talan.bank.gov.ua/get-user-certificate/J53258iSEZBrCfOEk6i4" TargetMode="External"/><Relationship Id="rId2374" Type="http://schemas.openxmlformats.org/officeDocument/2006/relationships/hyperlink" Target="https://talan.bank.gov.ua/get-user-certificate/J5325RlE8T1wu-kkAqPM" TargetMode="External"/><Relationship Id="rId2581" Type="http://schemas.openxmlformats.org/officeDocument/2006/relationships/hyperlink" Target="https://talan.bank.gov.ua/get-user-certificate/J5325u2AMb9jkJlqsahC" TargetMode="External"/><Relationship Id="rId3218" Type="http://schemas.openxmlformats.org/officeDocument/2006/relationships/hyperlink" Target="https://talan.bank.gov.ua/get-user-certificate/J5325VLH0O23DO0OpG82" TargetMode="External"/><Relationship Id="rId3425" Type="http://schemas.openxmlformats.org/officeDocument/2006/relationships/hyperlink" Target="https://talan.bank.gov.ua/get-user-certificate/J5325mnyf75aV-kjw4Bw" TargetMode="External"/><Relationship Id="rId3632" Type="http://schemas.openxmlformats.org/officeDocument/2006/relationships/hyperlink" Target="https://talan.bank.gov.ua/get-user-certificate/J5325cl7aX54VqVgUfiX" TargetMode="External"/><Relationship Id="rId139" Type="http://schemas.openxmlformats.org/officeDocument/2006/relationships/hyperlink" Target="https://talan.bank.gov.ua/get-user-certificate/J5325oAgTvvy845_KLao" TargetMode="External"/><Relationship Id="rId346" Type="http://schemas.openxmlformats.org/officeDocument/2006/relationships/hyperlink" Target="https://talan.bank.gov.ua/get-user-certificate/J5325PldtCIxIpCfiy64" TargetMode="External"/><Relationship Id="rId553" Type="http://schemas.openxmlformats.org/officeDocument/2006/relationships/hyperlink" Target="https://talan.bank.gov.ua/get-user-certificate/J5325kocXqBP3cCpEmDF" TargetMode="External"/><Relationship Id="rId760" Type="http://schemas.openxmlformats.org/officeDocument/2006/relationships/hyperlink" Target="https://talan.bank.gov.ua/get-user-certificate/J5325VW_4GyZpEfhpdZU" TargetMode="External"/><Relationship Id="rId1183" Type="http://schemas.openxmlformats.org/officeDocument/2006/relationships/hyperlink" Target="https://talan.bank.gov.ua/get-user-certificate/J5325SwNAGjscdGOgQVm" TargetMode="External"/><Relationship Id="rId1390" Type="http://schemas.openxmlformats.org/officeDocument/2006/relationships/hyperlink" Target="https://talan.bank.gov.ua/get-user-certificate/J5325IVJVwjOhDzcw2fs" TargetMode="External"/><Relationship Id="rId2027" Type="http://schemas.openxmlformats.org/officeDocument/2006/relationships/hyperlink" Target="https://talan.bank.gov.ua/get-user-certificate/J5325LPLzu6VPA4J4rmL" TargetMode="External"/><Relationship Id="rId2234" Type="http://schemas.openxmlformats.org/officeDocument/2006/relationships/hyperlink" Target="https://talan.bank.gov.ua/get-user-certificate/J5325BYjDtHoLq_tthww" TargetMode="External"/><Relationship Id="rId2441" Type="http://schemas.openxmlformats.org/officeDocument/2006/relationships/hyperlink" Target="https://talan.bank.gov.ua/get-user-certificate/J5325j0DWCMR5cs8ogvA" TargetMode="External"/><Relationship Id="rId206" Type="http://schemas.openxmlformats.org/officeDocument/2006/relationships/hyperlink" Target="https://talan.bank.gov.ua/get-user-certificate/J5325Gnhk3rb7DCOkq30" TargetMode="External"/><Relationship Id="rId413" Type="http://schemas.openxmlformats.org/officeDocument/2006/relationships/hyperlink" Target="https://talan.bank.gov.ua/get-user-certificate/J5325OFFD0JgUTx-hVad" TargetMode="External"/><Relationship Id="rId1043" Type="http://schemas.openxmlformats.org/officeDocument/2006/relationships/hyperlink" Target="https://talan.bank.gov.ua/get-user-certificate/J5325Z93CpyV8Y4gpIdi" TargetMode="External"/><Relationship Id="rId4199" Type="http://schemas.openxmlformats.org/officeDocument/2006/relationships/hyperlink" Target="https://talan.bank.gov.ua/get-user-certificate/TbxZWL8pFk993yRBXp_W" TargetMode="External"/><Relationship Id="rId620" Type="http://schemas.openxmlformats.org/officeDocument/2006/relationships/hyperlink" Target="https://talan.bank.gov.ua/get-user-certificate/J5325v3COmsymZH57hB0" TargetMode="External"/><Relationship Id="rId1250" Type="http://schemas.openxmlformats.org/officeDocument/2006/relationships/hyperlink" Target="https://talan.bank.gov.ua/get-user-certificate/J5325hA_dfcDWzbI0hDS" TargetMode="External"/><Relationship Id="rId2301" Type="http://schemas.openxmlformats.org/officeDocument/2006/relationships/hyperlink" Target="https://talan.bank.gov.ua/get-user-certificate/J5325LYv1CsJK05Hr6XK" TargetMode="External"/><Relationship Id="rId4059" Type="http://schemas.openxmlformats.org/officeDocument/2006/relationships/hyperlink" Target="https://talan.bank.gov.ua/get-user-certificate/J53250O9VyR3t3KERT_R" TargetMode="External"/><Relationship Id="rId1110" Type="http://schemas.openxmlformats.org/officeDocument/2006/relationships/hyperlink" Target="https://talan.bank.gov.ua/get-user-certificate/J5325jqg0xqm3H4oD50c" TargetMode="External"/><Relationship Id="rId1927" Type="http://schemas.openxmlformats.org/officeDocument/2006/relationships/hyperlink" Target="https://talan.bank.gov.ua/get-user-certificate/J5325IYnE9xgtwpbW1Qc" TargetMode="External"/><Relationship Id="rId3075" Type="http://schemas.openxmlformats.org/officeDocument/2006/relationships/hyperlink" Target="https://talan.bank.gov.ua/get-user-certificate/J5325bVFKJ78FYcLMPy0" TargetMode="External"/><Relationship Id="rId3282" Type="http://schemas.openxmlformats.org/officeDocument/2006/relationships/hyperlink" Target="https://talan.bank.gov.ua/get-user-certificate/J53253-NI5Q2nDPjzPG9" TargetMode="External"/><Relationship Id="rId4126" Type="http://schemas.openxmlformats.org/officeDocument/2006/relationships/hyperlink" Target="https://talan.bank.gov.ua/get-user-certificate/J5325tjkJJ0xux4q__yw" TargetMode="External"/><Relationship Id="rId2091" Type="http://schemas.openxmlformats.org/officeDocument/2006/relationships/hyperlink" Target="https://talan.bank.gov.ua/get-user-certificate/J5325ujlM_GwWG3YKvq5" TargetMode="External"/><Relationship Id="rId3142" Type="http://schemas.openxmlformats.org/officeDocument/2006/relationships/hyperlink" Target="https://talan.bank.gov.ua/get-user-certificate/J5325F_FoBFHtFh0kwfq" TargetMode="External"/><Relationship Id="rId270" Type="http://schemas.openxmlformats.org/officeDocument/2006/relationships/hyperlink" Target="https://talan.bank.gov.ua/get-user-certificate/J5325W7qoTkjYvlylQw0" TargetMode="External"/><Relationship Id="rId3002" Type="http://schemas.openxmlformats.org/officeDocument/2006/relationships/hyperlink" Target="https://talan.bank.gov.ua/get-user-certificate/J53251wlbfUR7WJAinHh" TargetMode="External"/><Relationship Id="rId130" Type="http://schemas.openxmlformats.org/officeDocument/2006/relationships/hyperlink" Target="https://talan.bank.gov.ua/get-user-certificate/J5325aH6FEWu0pw6nFC3" TargetMode="External"/><Relationship Id="rId3959" Type="http://schemas.openxmlformats.org/officeDocument/2006/relationships/hyperlink" Target="https://talan.bank.gov.ua/get-user-certificate/J5325ijtVrjddgTnV5Sr" TargetMode="External"/><Relationship Id="rId2768" Type="http://schemas.openxmlformats.org/officeDocument/2006/relationships/hyperlink" Target="https://talan.bank.gov.ua/get-user-certificate/J5325q2UO8O_NcdAkVNL" TargetMode="External"/><Relationship Id="rId2975" Type="http://schemas.openxmlformats.org/officeDocument/2006/relationships/hyperlink" Target="https://talan.bank.gov.ua/get-user-certificate/J53256IRaxMP0u5RiSED" TargetMode="External"/><Relationship Id="rId3819" Type="http://schemas.openxmlformats.org/officeDocument/2006/relationships/hyperlink" Target="https://talan.bank.gov.ua/get-user-certificate/J5325RHRzMz3uyViOfKV" TargetMode="External"/><Relationship Id="rId947" Type="http://schemas.openxmlformats.org/officeDocument/2006/relationships/hyperlink" Target="https://talan.bank.gov.ua/get-user-certificate/J5325F9chjk121galWPt" TargetMode="External"/><Relationship Id="rId1577" Type="http://schemas.openxmlformats.org/officeDocument/2006/relationships/hyperlink" Target="https://talan.bank.gov.ua/get-user-certificate/J5325Vj17sfMyVBSWWpe" TargetMode="External"/><Relationship Id="rId1784" Type="http://schemas.openxmlformats.org/officeDocument/2006/relationships/hyperlink" Target="https://talan.bank.gov.ua/get-user-certificate/J5325FOfjC8Ej_hiP7FJ" TargetMode="External"/><Relationship Id="rId1991" Type="http://schemas.openxmlformats.org/officeDocument/2006/relationships/hyperlink" Target="https://talan.bank.gov.ua/get-user-certificate/J53250S2c1I1BJq_Y1zY" TargetMode="External"/><Relationship Id="rId2628" Type="http://schemas.openxmlformats.org/officeDocument/2006/relationships/hyperlink" Target="https://talan.bank.gov.ua/get-user-certificate/J5325H9EWFhAp1WB947u" TargetMode="External"/><Relationship Id="rId2835" Type="http://schemas.openxmlformats.org/officeDocument/2006/relationships/hyperlink" Target="https://talan.bank.gov.ua/get-user-certificate/J5325XWsoH5G6JaALgC2" TargetMode="External"/><Relationship Id="rId4190" Type="http://schemas.openxmlformats.org/officeDocument/2006/relationships/hyperlink" Target="https://talan.bank.gov.ua/get-user-certificate/TbxZWe5MNIvVK1ExM8bA" TargetMode="External"/><Relationship Id="rId76" Type="http://schemas.openxmlformats.org/officeDocument/2006/relationships/hyperlink" Target="https://talan.bank.gov.ua/get-user-certificate/J5325nwCIkejh9hv0YHH" TargetMode="External"/><Relationship Id="rId807" Type="http://schemas.openxmlformats.org/officeDocument/2006/relationships/hyperlink" Target="https://talan.bank.gov.ua/get-user-certificate/J5325Tvd5GFlForGfFFr" TargetMode="External"/><Relationship Id="rId1437" Type="http://schemas.openxmlformats.org/officeDocument/2006/relationships/hyperlink" Target="https://talan.bank.gov.ua/get-user-certificate/J5325RaGeCAwpu-ED7wq" TargetMode="External"/><Relationship Id="rId1644" Type="http://schemas.openxmlformats.org/officeDocument/2006/relationships/hyperlink" Target="https://talan.bank.gov.ua/get-user-certificate/J5325AAHF6526I4RMU8_" TargetMode="External"/><Relationship Id="rId1851" Type="http://schemas.openxmlformats.org/officeDocument/2006/relationships/hyperlink" Target="https://talan.bank.gov.ua/get-user-certificate/J5325mP1fO-dp_IQjpVD" TargetMode="External"/><Relationship Id="rId2902" Type="http://schemas.openxmlformats.org/officeDocument/2006/relationships/hyperlink" Target="https://talan.bank.gov.ua/get-user-certificate/J5325jVQcJo4q8u6l5fw" TargetMode="External"/><Relationship Id="rId4050" Type="http://schemas.openxmlformats.org/officeDocument/2006/relationships/hyperlink" Target="https://talan.bank.gov.ua/get-user-certificate/J5325prJz-E1HfiyxKPt" TargetMode="External"/><Relationship Id="rId1504" Type="http://schemas.openxmlformats.org/officeDocument/2006/relationships/hyperlink" Target="https://talan.bank.gov.ua/get-user-certificate/J5325MUAbdWh08cmEyw1" TargetMode="External"/><Relationship Id="rId1711" Type="http://schemas.openxmlformats.org/officeDocument/2006/relationships/hyperlink" Target="https://talan.bank.gov.ua/get-user-certificate/J5325i2Qfhmv4KLIZxT1" TargetMode="External"/><Relationship Id="rId3469" Type="http://schemas.openxmlformats.org/officeDocument/2006/relationships/hyperlink" Target="https://talan.bank.gov.ua/get-user-certificate/J5325XV48ErjGNEksjPC" TargetMode="External"/><Relationship Id="rId3676" Type="http://schemas.openxmlformats.org/officeDocument/2006/relationships/hyperlink" Target="https://talan.bank.gov.ua/get-user-certificate/J5325_YZQKwdbMak93eY" TargetMode="External"/><Relationship Id="rId597" Type="http://schemas.openxmlformats.org/officeDocument/2006/relationships/hyperlink" Target="https://talan.bank.gov.ua/get-user-certificate/J5325efOcRCzU3KsyPQq" TargetMode="External"/><Relationship Id="rId2278" Type="http://schemas.openxmlformats.org/officeDocument/2006/relationships/hyperlink" Target="https://talan.bank.gov.ua/get-user-certificate/J53254G5-bdgvfUeNVST" TargetMode="External"/><Relationship Id="rId2485" Type="http://schemas.openxmlformats.org/officeDocument/2006/relationships/hyperlink" Target="https://talan.bank.gov.ua/get-user-certificate/J5325baEXVf3dwERrkBj" TargetMode="External"/><Relationship Id="rId3329" Type="http://schemas.openxmlformats.org/officeDocument/2006/relationships/hyperlink" Target="https://talan.bank.gov.ua/get-user-certificate/J5325ixk_k3DMxNGUGg-" TargetMode="External"/><Relationship Id="rId3883" Type="http://schemas.openxmlformats.org/officeDocument/2006/relationships/hyperlink" Target="https://talan.bank.gov.ua/get-user-certificate/J5325ZR_yMN2kjoDBT_5" TargetMode="External"/><Relationship Id="rId457" Type="http://schemas.openxmlformats.org/officeDocument/2006/relationships/hyperlink" Target="https://talan.bank.gov.ua/get-user-certificate/J5325W9TIL0s5UqFbqWJ" TargetMode="External"/><Relationship Id="rId1087" Type="http://schemas.openxmlformats.org/officeDocument/2006/relationships/hyperlink" Target="https://talan.bank.gov.ua/get-user-certificate/J5325nEFNmG7olLzQ0pk" TargetMode="External"/><Relationship Id="rId1294" Type="http://schemas.openxmlformats.org/officeDocument/2006/relationships/hyperlink" Target="https://talan.bank.gov.ua/get-user-certificate/J5325RasRZHR9j_l8m_p" TargetMode="External"/><Relationship Id="rId2138" Type="http://schemas.openxmlformats.org/officeDocument/2006/relationships/hyperlink" Target="https://talan.bank.gov.ua/get-user-certificate/J5325OBOOuyOh78MMC-L" TargetMode="External"/><Relationship Id="rId2692" Type="http://schemas.openxmlformats.org/officeDocument/2006/relationships/hyperlink" Target="https://talan.bank.gov.ua/get-user-certificate/J5325NAys6SFFEmC0gHL" TargetMode="External"/><Relationship Id="rId3536" Type="http://schemas.openxmlformats.org/officeDocument/2006/relationships/hyperlink" Target="https://talan.bank.gov.ua/get-user-certificate/J53256aoqwkN1d8nJEHL" TargetMode="External"/><Relationship Id="rId3743" Type="http://schemas.openxmlformats.org/officeDocument/2006/relationships/hyperlink" Target="https://talan.bank.gov.ua/get-user-certificate/J5325j_thceMHkKZZ9Wy" TargetMode="External"/><Relationship Id="rId3950" Type="http://schemas.openxmlformats.org/officeDocument/2006/relationships/hyperlink" Target="https://talan.bank.gov.ua/get-user-certificate/J5325Y_nK0xsHNjqvEox" TargetMode="External"/><Relationship Id="rId664" Type="http://schemas.openxmlformats.org/officeDocument/2006/relationships/hyperlink" Target="https://talan.bank.gov.ua/get-user-certificate/J5325NmYVL7IjngEQApP" TargetMode="External"/><Relationship Id="rId871" Type="http://schemas.openxmlformats.org/officeDocument/2006/relationships/hyperlink" Target="https://talan.bank.gov.ua/get-user-certificate/J53259Snoa0Xi5Tb4bho" TargetMode="External"/><Relationship Id="rId2345" Type="http://schemas.openxmlformats.org/officeDocument/2006/relationships/hyperlink" Target="https://talan.bank.gov.ua/get-user-certificate/J53257uABiOnXnOSm1cs" TargetMode="External"/><Relationship Id="rId2552" Type="http://schemas.openxmlformats.org/officeDocument/2006/relationships/hyperlink" Target="https://talan.bank.gov.ua/get-user-certificate/J5325XoHoui4kOpn_M7O" TargetMode="External"/><Relationship Id="rId3603" Type="http://schemas.openxmlformats.org/officeDocument/2006/relationships/hyperlink" Target="https://talan.bank.gov.ua/get-user-certificate/J5325PH058uaxgXgPxAZ" TargetMode="External"/><Relationship Id="rId3810" Type="http://schemas.openxmlformats.org/officeDocument/2006/relationships/hyperlink" Target="https://talan.bank.gov.ua/get-user-certificate/J5325tEbZMjCtlQGWk0b" TargetMode="External"/><Relationship Id="rId317" Type="http://schemas.openxmlformats.org/officeDocument/2006/relationships/hyperlink" Target="https://talan.bank.gov.ua/get-user-certificate/J5325ewElNFq_3Lf-aA4" TargetMode="External"/><Relationship Id="rId524" Type="http://schemas.openxmlformats.org/officeDocument/2006/relationships/hyperlink" Target="https://talan.bank.gov.ua/get-user-certificate/J5325PCDhafpkazIPgSN" TargetMode="External"/><Relationship Id="rId731" Type="http://schemas.openxmlformats.org/officeDocument/2006/relationships/hyperlink" Target="https://talan.bank.gov.ua/get-user-certificate/J5325sLg8cGktsOfO3UP" TargetMode="External"/><Relationship Id="rId1154" Type="http://schemas.openxmlformats.org/officeDocument/2006/relationships/hyperlink" Target="https://talan.bank.gov.ua/get-user-certificate/J532512Q00rxnv_a-HWT" TargetMode="External"/><Relationship Id="rId1361" Type="http://schemas.openxmlformats.org/officeDocument/2006/relationships/hyperlink" Target="https://talan.bank.gov.ua/get-user-certificate/J5325-iyn-oSGgBlOIBm" TargetMode="External"/><Relationship Id="rId2205" Type="http://schemas.openxmlformats.org/officeDocument/2006/relationships/hyperlink" Target="https://talan.bank.gov.ua/get-user-certificate/J5325BcKDuuKTcvEc1Vh" TargetMode="External"/><Relationship Id="rId2412" Type="http://schemas.openxmlformats.org/officeDocument/2006/relationships/hyperlink" Target="https://talan.bank.gov.ua/get-user-certificate/J5325p2InySUZmiy1EwR" TargetMode="External"/><Relationship Id="rId1014" Type="http://schemas.openxmlformats.org/officeDocument/2006/relationships/hyperlink" Target="https://talan.bank.gov.ua/get-user-certificate/J5325YSfrWfYawyKwmcy" TargetMode="External"/><Relationship Id="rId1221" Type="http://schemas.openxmlformats.org/officeDocument/2006/relationships/hyperlink" Target="https://talan.bank.gov.ua/get-user-certificate/J5325lVfqGan_nkNtxxV" TargetMode="External"/><Relationship Id="rId3186" Type="http://schemas.openxmlformats.org/officeDocument/2006/relationships/hyperlink" Target="https://talan.bank.gov.ua/get-user-certificate/J5325H6-8qMX0X-ZwRPW" TargetMode="External"/><Relationship Id="rId3393" Type="http://schemas.openxmlformats.org/officeDocument/2006/relationships/hyperlink" Target="https://talan.bank.gov.ua/get-user-certificate/J5325GsIMnrAA4yqSbSw" TargetMode="External"/><Relationship Id="rId4237" Type="http://schemas.openxmlformats.org/officeDocument/2006/relationships/hyperlink" Target="https://talan.bank.gov.ua/get-user-certificate/CYWPHx8gm97GWqKkh6bl" TargetMode="External"/><Relationship Id="rId3046" Type="http://schemas.openxmlformats.org/officeDocument/2006/relationships/hyperlink" Target="https://talan.bank.gov.ua/get-user-certificate/J5325AVEVSUtC6DlGZBW" TargetMode="External"/><Relationship Id="rId3253" Type="http://schemas.openxmlformats.org/officeDocument/2006/relationships/hyperlink" Target="https://talan.bank.gov.ua/get-user-certificate/J5325yI9JLEJOEyQEM9b" TargetMode="External"/><Relationship Id="rId3460" Type="http://schemas.openxmlformats.org/officeDocument/2006/relationships/hyperlink" Target="https://talan.bank.gov.ua/get-user-certificate/J5325nSaDr9MREnnkiZ1" TargetMode="External"/><Relationship Id="rId174" Type="http://schemas.openxmlformats.org/officeDocument/2006/relationships/hyperlink" Target="https://talan.bank.gov.ua/get-user-certificate/J5325zOT5Byapro5CXHF" TargetMode="External"/><Relationship Id="rId381" Type="http://schemas.openxmlformats.org/officeDocument/2006/relationships/hyperlink" Target="https://talan.bank.gov.ua/get-user-certificate/J5325HMzP7osYuSISuQg" TargetMode="External"/><Relationship Id="rId2062" Type="http://schemas.openxmlformats.org/officeDocument/2006/relationships/hyperlink" Target="https://talan.bank.gov.ua/get-user-certificate/J5325ZZXTW9C4J3Vymb_" TargetMode="External"/><Relationship Id="rId3113" Type="http://schemas.openxmlformats.org/officeDocument/2006/relationships/hyperlink" Target="https://talan.bank.gov.ua/get-user-certificate/J5325aJ1YqJgJAAvm_30" TargetMode="External"/><Relationship Id="rId241" Type="http://schemas.openxmlformats.org/officeDocument/2006/relationships/hyperlink" Target="https://talan.bank.gov.ua/get-user-certificate/J5325QB2-R1rJ8pGbFaS" TargetMode="External"/><Relationship Id="rId3320" Type="http://schemas.openxmlformats.org/officeDocument/2006/relationships/hyperlink" Target="https://talan.bank.gov.ua/get-user-certificate/J5325uj0-JFht8qNq2hU" TargetMode="External"/><Relationship Id="rId2879" Type="http://schemas.openxmlformats.org/officeDocument/2006/relationships/hyperlink" Target="https://talan.bank.gov.ua/get-user-certificate/J5325ldlDVdOEt3LKGmJ" TargetMode="External"/><Relationship Id="rId101" Type="http://schemas.openxmlformats.org/officeDocument/2006/relationships/hyperlink" Target="https://talan.bank.gov.ua/get-user-certificate/J5325Hfs5ZQ3mUkEaHrJ" TargetMode="External"/><Relationship Id="rId1688" Type="http://schemas.openxmlformats.org/officeDocument/2006/relationships/hyperlink" Target="https://talan.bank.gov.ua/get-user-certificate/J5325IdQyQYpPApza9MU" TargetMode="External"/><Relationship Id="rId1895" Type="http://schemas.openxmlformats.org/officeDocument/2006/relationships/hyperlink" Target="https://talan.bank.gov.ua/get-user-certificate/J5325oQGvm8ju6anRLoN" TargetMode="External"/><Relationship Id="rId2739" Type="http://schemas.openxmlformats.org/officeDocument/2006/relationships/hyperlink" Target="https://talan.bank.gov.ua/get-user-certificate/J5325ynatQeUQNGQbl0h" TargetMode="External"/><Relationship Id="rId2946" Type="http://schemas.openxmlformats.org/officeDocument/2006/relationships/hyperlink" Target="https://talan.bank.gov.ua/get-user-certificate/J5325mw2viZHWdJskK_S" TargetMode="External"/><Relationship Id="rId4094" Type="http://schemas.openxmlformats.org/officeDocument/2006/relationships/hyperlink" Target="https://talan.bank.gov.ua/get-user-certificate/J5325FC2hl6eYCc_fefH" TargetMode="External"/><Relationship Id="rId918" Type="http://schemas.openxmlformats.org/officeDocument/2006/relationships/hyperlink" Target="https://talan.bank.gov.ua/get-user-certificate/J5325hrUJeCPfv-26r2N" TargetMode="External"/><Relationship Id="rId1548" Type="http://schemas.openxmlformats.org/officeDocument/2006/relationships/hyperlink" Target="https://talan.bank.gov.ua/get-user-certificate/J53256OXZEGKRTUzI5HJ" TargetMode="External"/><Relationship Id="rId1755" Type="http://schemas.openxmlformats.org/officeDocument/2006/relationships/hyperlink" Target="https://talan.bank.gov.ua/get-user-certificate/J5325yyzE-E5-uOIqiDN" TargetMode="External"/><Relationship Id="rId4161" Type="http://schemas.openxmlformats.org/officeDocument/2006/relationships/hyperlink" Target="https://talan.bank.gov.ua/get-user-certificate/J5325acvcGA2JBfUcK0W" TargetMode="External"/><Relationship Id="rId1408" Type="http://schemas.openxmlformats.org/officeDocument/2006/relationships/hyperlink" Target="https://talan.bank.gov.ua/get-user-certificate/J53252PzLNzRg3vQzECU" TargetMode="External"/><Relationship Id="rId1962" Type="http://schemas.openxmlformats.org/officeDocument/2006/relationships/hyperlink" Target="https://talan.bank.gov.ua/get-user-certificate/J5325THU6LxlmJ5w4AM9" TargetMode="External"/><Relationship Id="rId2806" Type="http://schemas.openxmlformats.org/officeDocument/2006/relationships/hyperlink" Target="https://talan.bank.gov.ua/get-user-certificate/J53258gO7OtXuI0t_YL5" TargetMode="External"/><Relationship Id="rId4021" Type="http://schemas.openxmlformats.org/officeDocument/2006/relationships/hyperlink" Target="https://talan.bank.gov.ua/get-user-certificate/J5325k8ATl1L4RxwvDJF" TargetMode="External"/><Relationship Id="rId47" Type="http://schemas.openxmlformats.org/officeDocument/2006/relationships/hyperlink" Target="https://talan.bank.gov.ua/get-user-certificate/J5325DsOvUrItATDNxj8" TargetMode="External"/><Relationship Id="rId1615" Type="http://schemas.openxmlformats.org/officeDocument/2006/relationships/hyperlink" Target="https://talan.bank.gov.ua/get-user-certificate/J5325XgtR7Rn1DHcJF5D" TargetMode="External"/><Relationship Id="rId1822" Type="http://schemas.openxmlformats.org/officeDocument/2006/relationships/hyperlink" Target="https://talan.bank.gov.ua/get-user-certificate/J5325A7C3_egizYFRYwN" TargetMode="External"/><Relationship Id="rId3787" Type="http://schemas.openxmlformats.org/officeDocument/2006/relationships/hyperlink" Target="https://talan.bank.gov.ua/get-user-certificate/J5325H3a7XYp7b1ESuJs" TargetMode="External"/><Relationship Id="rId3994" Type="http://schemas.openxmlformats.org/officeDocument/2006/relationships/hyperlink" Target="https://talan.bank.gov.ua/get-user-certificate/J5325QqDhIGOL6di5UzM" TargetMode="External"/><Relationship Id="rId2389" Type="http://schemas.openxmlformats.org/officeDocument/2006/relationships/hyperlink" Target="https://talan.bank.gov.ua/get-user-certificate/J5325H9WO85lP9bMwSfw" TargetMode="External"/><Relationship Id="rId2596" Type="http://schemas.openxmlformats.org/officeDocument/2006/relationships/hyperlink" Target="https://talan.bank.gov.ua/get-user-certificate/J5325CLDN8_sjasWsttv" TargetMode="External"/><Relationship Id="rId3647" Type="http://schemas.openxmlformats.org/officeDocument/2006/relationships/hyperlink" Target="https://talan.bank.gov.ua/get-user-certificate/J5325iXsezP5LTEF7pec" TargetMode="External"/><Relationship Id="rId3854" Type="http://schemas.openxmlformats.org/officeDocument/2006/relationships/hyperlink" Target="https://talan.bank.gov.ua/get-user-certificate/J5325c6X_7axQlCHNIRD" TargetMode="External"/><Relationship Id="rId568" Type="http://schemas.openxmlformats.org/officeDocument/2006/relationships/hyperlink" Target="https://talan.bank.gov.ua/get-user-certificate/J5325SS_hhpYcNFYF__L" TargetMode="External"/><Relationship Id="rId775" Type="http://schemas.openxmlformats.org/officeDocument/2006/relationships/hyperlink" Target="https://talan.bank.gov.ua/get-user-certificate/J5325z412VUsgAEVITd9" TargetMode="External"/><Relationship Id="rId982" Type="http://schemas.openxmlformats.org/officeDocument/2006/relationships/hyperlink" Target="https://talan.bank.gov.ua/get-user-certificate/J5325BEX22711ZQ39Xmw" TargetMode="External"/><Relationship Id="rId1198" Type="http://schemas.openxmlformats.org/officeDocument/2006/relationships/hyperlink" Target="https://talan.bank.gov.ua/get-user-certificate/J5325Di7mXgcGXVYIc5Z" TargetMode="External"/><Relationship Id="rId2249" Type="http://schemas.openxmlformats.org/officeDocument/2006/relationships/hyperlink" Target="https://talan.bank.gov.ua/get-user-certificate/J5325R6YuNH8oAVkorCc" TargetMode="External"/><Relationship Id="rId2456" Type="http://schemas.openxmlformats.org/officeDocument/2006/relationships/hyperlink" Target="https://talan.bank.gov.ua/get-user-certificate/J53256KTkH50TH9pS-Xf" TargetMode="External"/><Relationship Id="rId2663" Type="http://schemas.openxmlformats.org/officeDocument/2006/relationships/hyperlink" Target="https://talan.bank.gov.ua/get-user-certificate/J5325_DYNx6J_Skz1w1N" TargetMode="External"/><Relationship Id="rId2870" Type="http://schemas.openxmlformats.org/officeDocument/2006/relationships/hyperlink" Target="https://talan.bank.gov.ua/get-user-certificate/J5325HS88C1gGwfZ7JTU" TargetMode="External"/><Relationship Id="rId3507" Type="http://schemas.openxmlformats.org/officeDocument/2006/relationships/hyperlink" Target="https://talan.bank.gov.ua/get-user-certificate/J532500gxvxbBo646GMj" TargetMode="External"/><Relationship Id="rId3714" Type="http://schemas.openxmlformats.org/officeDocument/2006/relationships/hyperlink" Target="https://talan.bank.gov.ua/get-user-certificate/J5325wpf-Ew0XhwgIWwo" TargetMode="External"/><Relationship Id="rId3921" Type="http://schemas.openxmlformats.org/officeDocument/2006/relationships/hyperlink" Target="https://talan.bank.gov.ua/get-user-certificate/J5325Hlz68wHahPYyyQg" TargetMode="External"/><Relationship Id="rId428" Type="http://schemas.openxmlformats.org/officeDocument/2006/relationships/hyperlink" Target="https://talan.bank.gov.ua/get-user-certificate/J5325CHUiWC1OepET4ds" TargetMode="External"/><Relationship Id="rId635" Type="http://schemas.openxmlformats.org/officeDocument/2006/relationships/hyperlink" Target="https://talan.bank.gov.ua/get-user-certificate/J5325a2mAiB3d6abEiFf" TargetMode="External"/><Relationship Id="rId842" Type="http://schemas.openxmlformats.org/officeDocument/2006/relationships/hyperlink" Target="https://talan.bank.gov.ua/get-user-certificate/J5325spOXEf0OR2XVt15" TargetMode="External"/><Relationship Id="rId1058" Type="http://schemas.openxmlformats.org/officeDocument/2006/relationships/hyperlink" Target="https://talan.bank.gov.ua/get-user-certificate/J5325Eeftn-Kl9LC-Rdf" TargetMode="External"/><Relationship Id="rId1265" Type="http://schemas.openxmlformats.org/officeDocument/2006/relationships/hyperlink" Target="https://talan.bank.gov.ua/get-user-certificate/J5325g4RqbejAFKFaoUn" TargetMode="External"/><Relationship Id="rId1472" Type="http://schemas.openxmlformats.org/officeDocument/2006/relationships/hyperlink" Target="https://talan.bank.gov.ua/get-user-certificate/J53253ogQjNR4Bky8RQr" TargetMode="External"/><Relationship Id="rId2109" Type="http://schemas.openxmlformats.org/officeDocument/2006/relationships/hyperlink" Target="https://talan.bank.gov.ua/get-user-certificate/J5325xJ_Fjcx--TQQz3m" TargetMode="External"/><Relationship Id="rId2316" Type="http://schemas.openxmlformats.org/officeDocument/2006/relationships/hyperlink" Target="https://talan.bank.gov.ua/get-user-certificate/J5325wvqhmaQBHlIXqKV" TargetMode="External"/><Relationship Id="rId2523" Type="http://schemas.openxmlformats.org/officeDocument/2006/relationships/hyperlink" Target="https://talan.bank.gov.ua/get-user-certificate/J5325Y_u_6wXe21tkr38" TargetMode="External"/><Relationship Id="rId2730" Type="http://schemas.openxmlformats.org/officeDocument/2006/relationships/hyperlink" Target="https://talan.bank.gov.ua/get-user-certificate/J5325-KZ1cjLRsV92tjI" TargetMode="External"/><Relationship Id="rId702" Type="http://schemas.openxmlformats.org/officeDocument/2006/relationships/hyperlink" Target="https://talan.bank.gov.ua/get-user-certificate/J5325KaWF55hsUncBFJt" TargetMode="External"/><Relationship Id="rId1125" Type="http://schemas.openxmlformats.org/officeDocument/2006/relationships/hyperlink" Target="https://talan.bank.gov.ua/get-user-certificate/J5325d8NFSN75fUfdlWi" TargetMode="External"/><Relationship Id="rId1332" Type="http://schemas.openxmlformats.org/officeDocument/2006/relationships/hyperlink" Target="https://talan.bank.gov.ua/get-user-certificate/J5325XiAr13q2ue34xHK" TargetMode="External"/><Relationship Id="rId3297" Type="http://schemas.openxmlformats.org/officeDocument/2006/relationships/hyperlink" Target="https://talan.bank.gov.ua/get-user-certificate/J53250N3QQZsLdeukdPV" TargetMode="External"/><Relationship Id="rId3157" Type="http://schemas.openxmlformats.org/officeDocument/2006/relationships/hyperlink" Target="https://talan.bank.gov.ua/get-user-certificate/J5325wEK9QJLgn65Yxqg" TargetMode="External"/><Relationship Id="rId285" Type="http://schemas.openxmlformats.org/officeDocument/2006/relationships/hyperlink" Target="https://talan.bank.gov.ua/get-user-certificate/J5325vvydCc8Sx1KSQEc" TargetMode="External"/><Relationship Id="rId3364" Type="http://schemas.openxmlformats.org/officeDocument/2006/relationships/hyperlink" Target="https://talan.bank.gov.ua/get-user-certificate/J53259_pFq35vW2_4Yyi" TargetMode="External"/><Relationship Id="rId3571" Type="http://schemas.openxmlformats.org/officeDocument/2006/relationships/hyperlink" Target="https://talan.bank.gov.ua/get-user-certificate/J5325rbu3jFLK70JrufF" TargetMode="External"/><Relationship Id="rId4208" Type="http://schemas.openxmlformats.org/officeDocument/2006/relationships/hyperlink" Target="https://talan.bank.gov.ua/get-user-certificate/lHoZPMnL1-VrfJuu97Ee" TargetMode="External"/><Relationship Id="rId492" Type="http://schemas.openxmlformats.org/officeDocument/2006/relationships/hyperlink" Target="https://talan.bank.gov.ua/get-user-certificate/J5325jD71wtlJz4uA8Lx" TargetMode="External"/><Relationship Id="rId2173" Type="http://schemas.openxmlformats.org/officeDocument/2006/relationships/hyperlink" Target="https://talan.bank.gov.ua/get-user-certificate/J5325YTBhMEkDkgLnQv8" TargetMode="External"/><Relationship Id="rId2380" Type="http://schemas.openxmlformats.org/officeDocument/2006/relationships/hyperlink" Target="https://talan.bank.gov.ua/get-user-certificate/J5325zTeQwUpscL-OF7X" TargetMode="External"/><Relationship Id="rId3017" Type="http://schemas.openxmlformats.org/officeDocument/2006/relationships/hyperlink" Target="https://talan.bank.gov.ua/get-user-certificate/J53259Pu_FW93fER5wcj" TargetMode="External"/><Relationship Id="rId3224" Type="http://schemas.openxmlformats.org/officeDocument/2006/relationships/hyperlink" Target="https://talan.bank.gov.ua/get-user-certificate/J5325wWGqfHjuG3LjRwm" TargetMode="External"/><Relationship Id="rId3431" Type="http://schemas.openxmlformats.org/officeDocument/2006/relationships/hyperlink" Target="https://talan.bank.gov.ua/get-user-certificate/J5325QBawuEIpuFoBrww" TargetMode="External"/><Relationship Id="rId145" Type="http://schemas.openxmlformats.org/officeDocument/2006/relationships/hyperlink" Target="https://talan.bank.gov.ua/get-user-certificate/J5325MhBB8niFMe82_hM" TargetMode="External"/><Relationship Id="rId352" Type="http://schemas.openxmlformats.org/officeDocument/2006/relationships/hyperlink" Target="https://talan.bank.gov.ua/get-user-certificate/J5325OXdetn0pl33AEZ8" TargetMode="External"/><Relationship Id="rId2033" Type="http://schemas.openxmlformats.org/officeDocument/2006/relationships/hyperlink" Target="https://talan.bank.gov.ua/get-user-certificate/J5325woTG408bjWBDi6n" TargetMode="External"/><Relationship Id="rId2240" Type="http://schemas.openxmlformats.org/officeDocument/2006/relationships/hyperlink" Target="https://talan.bank.gov.ua/get-user-certificate/J5325hdns-nah-GGJfZb" TargetMode="External"/><Relationship Id="rId212" Type="http://schemas.openxmlformats.org/officeDocument/2006/relationships/hyperlink" Target="https://talan.bank.gov.ua/get-user-certificate/J5325YY3NJC-ZVWpY_rc" TargetMode="External"/><Relationship Id="rId1799" Type="http://schemas.openxmlformats.org/officeDocument/2006/relationships/hyperlink" Target="https://talan.bank.gov.ua/get-user-certificate/J5325W5FrRAoc9NzAsB0" TargetMode="External"/><Relationship Id="rId2100" Type="http://schemas.openxmlformats.org/officeDocument/2006/relationships/hyperlink" Target="https://talan.bank.gov.ua/get-user-certificate/J53252WkC5DS6xsv0COJ" TargetMode="External"/><Relationship Id="rId4065" Type="http://schemas.openxmlformats.org/officeDocument/2006/relationships/hyperlink" Target="https://talan.bank.gov.ua/get-user-certificate/J5325S1cQFFqHq89knFC" TargetMode="External"/><Relationship Id="rId1659" Type="http://schemas.openxmlformats.org/officeDocument/2006/relationships/hyperlink" Target="https://talan.bank.gov.ua/get-user-certificate/J532502NAJL1ntYDyUet" TargetMode="External"/><Relationship Id="rId1866" Type="http://schemas.openxmlformats.org/officeDocument/2006/relationships/hyperlink" Target="https://talan.bank.gov.ua/get-user-certificate/J5325squjUaFkOhLkDVu" TargetMode="External"/><Relationship Id="rId2917" Type="http://schemas.openxmlformats.org/officeDocument/2006/relationships/hyperlink" Target="https://talan.bank.gov.ua/get-user-certificate/J5325aXRazHdBWjvn2_X" TargetMode="External"/><Relationship Id="rId3081" Type="http://schemas.openxmlformats.org/officeDocument/2006/relationships/hyperlink" Target="https://talan.bank.gov.ua/get-user-certificate/J5325cBaFWzs9DTREMUX" TargetMode="External"/><Relationship Id="rId4132" Type="http://schemas.openxmlformats.org/officeDocument/2006/relationships/hyperlink" Target="https://talan.bank.gov.ua/get-user-certificate/J53256Nv9u3oA7CRRlgR" TargetMode="External"/><Relationship Id="rId1519" Type="http://schemas.openxmlformats.org/officeDocument/2006/relationships/hyperlink" Target="https://talan.bank.gov.ua/get-user-certificate/J5325irXCwA5Q6kY7Tvm" TargetMode="External"/><Relationship Id="rId1726" Type="http://schemas.openxmlformats.org/officeDocument/2006/relationships/hyperlink" Target="https://talan.bank.gov.ua/get-user-certificate/J5325tMVaJAyUSEMC_-M" TargetMode="External"/><Relationship Id="rId1933" Type="http://schemas.openxmlformats.org/officeDocument/2006/relationships/hyperlink" Target="https://talan.bank.gov.ua/get-user-certificate/J5325zB1zsb1LQ1R1cCE" TargetMode="External"/><Relationship Id="rId18" Type="http://schemas.openxmlformats.org/officeDocument/2006/relationships/hyperlink" Target="https://talan.bank.gov.ua/get-user-certificate/J5325vXFuFYy4Zr6p_pb" TargetMode="External"/><Relationship Id="rId3898" Type="http://schemas.openxmlformats.org/officeDocument/2006/relationships/hyperlink" Target="https://talan.bank.gov.ua/get-user-certificate/J5325lMCHtzmvGuYtRD-" TargetMode="External"/><Relationship Id="rId3758" Type="http://schemas.openxmlformats.org/officeDocument/2006/relationships/hyperlink" Target="https://talan.bank.gov.ua/get-user-certificate/J5325Fp3rh8miDc6vXPl" TargetMode="External"/><Relationship Id="rId3965" Type="http://schemas.openxmlformats.org/officeDocument/2006/relationships/hyperlink" Target="https://talan.bank.gov.ua/get-user-certificate/J5325k9e9HingRNGxJ0Q" TargetMode="External"/><Relationship Id="rId679" Type="http://schemas.openxmlformats.org/officeDocument/2006/relationships/hyperlink" Target="https://talan.bank.gov.ua/get-user-certificate/J5325UD2m8xkxWKJWZCP" TargetMode="External"/><Relationship Id="rId886" Type="http://schemas.openxmlformats.org/officeDocument/2006/relationships/hyperlink" Target="https://talan.bank.gov.ua/get-user-certificate/J5325LB4XdL9LD97kj8B" TargetMode="External"/><Relationship Id="rId2567" Type="http://schemas.openxmlformats.org/officeDocument/2006/relationships/hyperlink" Target="https://talan.bank.gov.ua/get-user-certificate/J532549Magx04DfaYnmJ" TargetMode="External"/><Relationship Id="rId2774" Type="http://schemas.openxmlformats.org/officeDocument/2006/relationships/hyperlink" Target="https://talan.bank.gov.ua/get-user-certificate/J5325D0CwEEHN9ZLwEpk" TargetMode="External"/><Relationship Id="rId3618" Type="http://schemas.openxmlformats.org/officeDocument/2006/relationships/hyperlink" Target="https://talan.bank.gov.ua/get-user-certificate/J5325L2-HjUifVNvk9-Y" TargetMode="External"/><Relationship Id="rId2" Type="http://schemas.openxmlformats.org/officeDocument/2006/relationships/hyperlink" Target="https://talan.bank.gov.ua/get-user-certificate/J5325-dj8FqHMplWMEZh" TargetMode="External"/><Relationship Id="rId539" Type="http://schemas.openxmlformats.org/officeDocument/2006/relationships/hyperlink" Target="https://talan.bank.gov.ua/get-user-certificate/J5325BM4lbxyO03V03FP" TargetMode="External"/><Relationship Id="rId746" Type="http://schemas.openxmlformats.org/officeDocument/2006/relationships/hyperlink" Target="https://talan.bank.gov.ua/get-user-certificate/J5325ZEhc5i1nqyt-6L3" TargetMode="External"/><Relationship Id="rId1169" Type="http://schemas.openxmlformats.org/officeDocument/2006/relationships/hyperlink" Target="https://talan.bank.gov.ua/get-user-certificate/J53253_3luV-O7AeyoPw" TargetMode="External"/><Relationship Id="rId1376" Type="http://schemas.openxmlformats.org/officeDocument/2006/relationships/hyperlink" Target="https://talan.bank.gov.ua/get-user-certificate/J5325WjDgjL_NyaG4qAZ" TargetMode="External"/><Relationship Id="rId1583" Type="http://schemas.openxmlformats.org/officeDocument/2006/relationships/hyperlink" Target="https://talan.bank.gov.ua/get-user-certificate/J5325YVyQVkcwhqaFX7W" TargetMode="External"/><Relationship Id="rId2427" Type="http://schemas.openxmlformats.org/officeDocument/2006/relationships/hyperlink" Target="https://talan.bank.gov.ua/get-user-certificate/J5325kma7ThZNZ-mn7oI" TargetMode="External"/><Relationship Id="rId2981" Type="http://schemas.openxmlformats.org/officeDocument/2006/relationships/hyperlink" Target="https://talan.bank.gov.ua/get-user-certificate/J5325AUJVdvCCjTHv98m" TargetMode="External"/><Relationship Id="rId3825" Type="http://schemas.openxmlformats.org/officeDocument/2006/relationships/hyperlink" Target="https://talan.bank.gov.ua/get-user-certificate/J53255vVNy0hydYFGpja" TargetMode="External"/><Relationship Id="rId953" Type="http://schemas.openxmlformats.org/officeDocument/2006/relationships/hyperlink" Target="https://talan.bank.gov.ua/get-user-certificate/J5325ftUKfiWOehQO_4C" TargetMode="External"/><Relationship Id="rId1029" Type="http://schemas.openxmlformats.org/officeDocument/2006/relationships/hyperlink" Target="https://talan.bank.gov.ua/get-user-certificate/J5325tBunjs5sTiyqxoq" TargetMode="External"/><Relationship Id="rId1236" Type="http://schemas.openxmlformats.org/officeDocument/2006/relationships/hyperlink" Target="https://talan.bank.gov.ua/get-user-certificate/J5325mXtOQgtTF_pDIS1" TargetMode="External"/><Relationship Id="rId1790" Type="http://schemas.openxmlformats.org/officeDocument/2006/relationships/hyperlink" Target="https://talan.bank.gov.ua/get-user-certificate/J5325xf74k-w6BU81cGD" TargetMode="External"/><Relationship Id="rId2634" Type="http://schemas.openxmlformats.org/officeDocument/2006/relationships/hyperlink" Target="https://talan.bank.gov.ua/get-user-certificate/J5325bGgiq5fIqtzI72m" TargetMode="External"/><Relationship Id="rId2841" Type="http://schemas.openxmlformats.org/officeDocument/2006/relationships/hyperlink" Target="https://talan.bank.gov.ua/get-user-certificate/J5325cxVqh62KYMhEj3e" TargetMode="External"/><Relationship Id="rId82" Type="http://schemas.openxmlformats.org/officeDocument/2006/relationships/hyperlink" Target="https://talan.bank.gov.ua/get-user-certificate/J5325816G7tq1lESCTKa" TargetMode="External"/><Relationship Id="rId606" Type="http://schemas.openxmlformats.org/officeDocument/2006/relationships/hyperlink" Target="https://talan.bank.gov.ua/get-user-certificate/J5325xH8GZlnzRmf3Sp-" TargetMode="External"/><Relationship Id="rId813" Type="http://schemas.openxmlformats.org/officeDocument/2006/relationships/hyperlink" Target="https://talan.bank.gov.ua/get-user-certificate/J5325pdTWIJJ3xcUh8mi" TargetMode="External"/><Relationship Id="rId1443" Type="http://schemas.openxmlformats.org/officeDocument/2006/relationships/hyperlink" Target="https://talan.bank.gov.ua/get-user-certificate/J5325XFeXON0llZsDrzC" TargetMode="External"/><Relationship Id="rId1650" Type="http://schemas.openxmlformats.org/officeDocument/2006/relationships/hyperlink" Target="https://talan.bank.gov.ua/get-user-certificate/J5325rVJBxVE9JXaHt0i" TargetMode="External"/><Relationship Id="rId2701" Type="http://schemas.openxmlformats.org/officeDocument/2006/relationships/hyperlink" Target="https://talan.bank.gov.ua/get-user-certificate/J5325HS76UKeAp0KHc6p" TargetMode="External"/><Relationship Id="rId1303" Type="http://schemas.openxmlformats.org/officeDocument/2006/relationships/hyperlink" Target="https://talan.bank.gov.ua/get-user-certificate/J5325dvWhmgLyn9mu457" TargetMode="External"/><Relationship Id="rId1510" Type="http://schemas.openxmlformats.org/officeDocument/2006/relationships/hyperlink" Target="https://talan.bank.gov.ua/get-user-certificate/J5325QSAd8teSoEDBOJi" TargetMode="External"/><Relationship Id="rId3268" Type="http://schemas.openxmlformats.org/officeDocument/2006/relationships/hyperlink" Target="https://talan.bank.gov.ua/get-user-certificate/J5325X7tcn3pl7Z54P2c" TargetMode="External"/><Relationship Id="rId3475" Type="http://schemas.openxmlformats.org/officeDocument/2006/relationships/hyperlink" Target="https://talan.bank.gov.ua/get-user-certificate/J5325DKIPRVQUtuDjm2P" TargetMode="External"/><Relationship Id="rId3682" Type="http://schemas.openxmlformats.org/officeDocument/2006/relationships/hyperlink" Target="https://talan.bank.gov.ua/get-user-certificate/J5325qk-V_qRNJi_YBEH" TargetMode="External"/><Relationship Id="rId189" Type="http://schemas.openxmlformats.org/officeDocument/2006/relationships/hyperlink" Target="https://talan.bank.gov.ua/get-user-certificate/J532565SYFv2TsIuUx4Z" TargetMode="External"/><Relationship Id="rId396" Type="http://schemas.openxmlformats.org/officeDocument/2006/relationships/hyperlink" Target="https://talan.bank.gov.ua/get-user-certificate/J5325V46K5RtsWbnCoDL" TargetMode="External"/><Relationship Id="rId2077" Type="http://schemas.openxmlformats.org/officeDocument/2006/relationships/hyperlink" Target="https://talan.bank.gov.ua/get-user-certificate/J5325rORcV1NsfIQeSF7" TargetMode="External"/><Relationship Id="rId2284" Type="http://schemas.openxmlformats.org/officeDocument/2006/relationships/hyperlink" Target="https://talan.bank.gov.ua/get-user-certificate/J5325M8NZfh_HHOs0OPm" TargetMode="External"/><Relationship Id="rId2491" Type="http://schemas.openxmlformats.org/officeDocument/2006/relationships/hyperlink" Target="https://talan.bank.gov.ua/get-user-certificate/J5325opBX4yFQDd4tSb8" TargetMode="External"/><Relationship Id="rId3128" Type="http://schemas.openxmlformats.org/officeDocument/2006/relationships/hyperlink" Target="https://talan.bank.gov.ua/get-user-certificate/J53253gjXnnJ9PXG85Iu" TargetMode="External"/><Relationship Id="rId3335" Type="http://schemas.openxmlformats.org/officeDocument/2006/relationships/hyperlink" Target="https://talan.bank.gov.ua/get-user-certificate/J5325t3qOAsWkKd50YrR" TargetMode="External"/><Relationship Id="rId3542" Type="http://schemas.openxmlformats.org/officeDocument/2006/relationships/hyperlink" Target="https://talan.bank.gov.ua/get-user-certificate/J5325NS4D7iei2WHJW8_" TargetMode="External"/><Relationship Id="rId256" Type="http://schemas.openxmlformats.org/officeDocument/2006/relationships/hyperlink" Target="https://talan.bank.gov.ua/get-user-certificate/J5325VztRuawsK-n-xyw" TargetMode="External"/><Relationship Id="rId463" Type="http://schemas.openxmlformats.org/officeDocument/2006/relationships/hyperlink" Target="https://talan.bank.gov.ua/get-user-certificate/J5325-yTtrDjkKd_-PZ6" TargetMode="External"/><Relationship Id="rId670" Type="http://schemas.openxmlformats.org/officeDocument/2006/relationships/hyperlink" Target="https://talan.bank.gov.ua/get-user-certificate/J5325Ww33docQpMcVobo" TargetMode="External"/><Relationship Id="rId1093" Type="http://schemas.openxmlformats.org/officeDocument/2006/relationships/hyperlink" Target="https://talan.bank.gov.ua/get-user-certificate/J5325BIBth6qyqTqsZQv" TargetMode="External"/><Relationship Id="rId2144" Type="http://schemas.openxmlformats.org/officeDocument/2006/relationships/hyperlink" Target="https://talan.bank.gov.ua/get-user-certificate/J5325JxvIC8Upb4ueGDo" TargetMode="External"/><Relationship Id="rId2351" Type="http://schemas.openxmlformats.org/officeDocument/2006/relationships/hyperlink" Target="https://talan.bank.gov.ua/get-user-certificate/J53255JuzStKC4KpqMfQ" TargetMode="External"/><Relationship Id="rId3402" Type="http://schemas.openxmlformats.org/officeDocument/2006/relationships/hyperlink" Target="https://talan.bank.gov.ua/get-user-certificate/J5325b6a5NmA0J8l6Wre" TargetMode="External"/><Relationship Id="rId116" Type="http://schemas.openxmlformats.org/officeDocument/2006/relationships/hyperlink" Target="https://talan.bank.gov.ua/get-user-certificate/J5325WCxUfp_AJ1Urxhx" TargetMode="External"/><Relationship Id="rId323" Type="http://schemas.openxmlformats.org/officeDocument/2006/relationships/hyperlink" Target="https://talan.bank.gov.ua/get-user-certificate/J5325LPuAhNGeSq4jEy9" TargetMode="External"/><Relationship Id="rId530" Type="http://schemas.openxmlformats.org/officeDocument/2006/relationships/hyperlink" Target="https://talan.bank.gov.ua/get-user-certificate/J532546EOmc3taj2GYKJ" TargetMode="External"/><Relationship Id="rId1160" Type="http://schemas.openxmlformats.org/officeDocument/2006/relationships/hyperlink" Target="https://talan.bank.gov.ua/get-user-certificate/J5325skSUZQqJYZ75IGi" TargetMode="External"/><Relationship Id="rId2004" Type="http://schemas.openxmlformats.org/officeDocument/2006/relationships/hyperlink" Target="https://talan.bank.gov.ua/get-user-certificate/J5325Y9Yufbs0xUblBb8" TargetMode="External"/><Relationship Id="rId2211" Type="http://schemas.openxmlformats.org/officeDocument/2006/relationships/hyperlink" Target="https://talan.bank.gov.ua/get-user-certificate/J5325p2mhxylJsX7fLe5" TargetMode="External"/><Relationship Id="rId4176" Type="http://schemas.openxmlformats.org/officeDocument/2006/relationships/hyperlink" Target="https://talan.bank.gov.ua/get-user-certificate/TbxZW9Ywz6P48lNO4KZK" TargetMode="External"/><Relationship Id="rId1020" Type="http://schemas.openxmlformats.org/officeDocument/2006/relationships/hyperlink" Target="https://talan.bank.gov.ua/get-user-certificate/J5325_Uw9bVXL1Krp1LY" TargetMode="External"/><Relationship Id="rId1977" Type="http://schemas.openxmlformats.org/officeDocument/2006/relationships/hyperlink" Target="https://talan.bank.gov.ua/get-user-certificate/J5325keqNVc2Tle5_2b5" TargetMode="External"/><Relationship Id="rId1837" Type="http://schemas.openxmlformats.org/officeDocument/2006/relationships/hyperlink" Target="https://talan.bank.gov.ua/get-user-certificate/J5325wDb-WjsE2VcmV-l" TargetMode="External"/><Relationship Id="rId3192" Type="http://schemas.openxmlformats.org/officeDocument/2006/relationships/hyperlink" Target="https://talan.bank.gov.ua/get-user-certificate/J5325W27uK-Dh5NIo7O3" TargetMode="External"/><Relationship Id="rId4036" Type="http://schemas.openxmlformats.org/officeDocument/2006/relationships/hyperlink" Target="https://talan.bank.gov.ua/get-user-certificate/J5325pW32tPHtHDDOTMY" TargetMode="External"/><Relationship Id="rId4243" Type="http://schemas.openxmlformats.org/officeDocument/2006/relationships/hyperlink" Target="https://talan.bank.gov.ua/get-user-certificate/CYWPHaVJefSCMqyRRWCw" TargetMode="External"/><Relationship Id="rId3052" Type="http://schemas.openxmlformats.org/officeDocument/2006/relationships/hyperlink" Target="https://talan.bank.gov.ua/get-user-certificate/J5325uVsbiwRcn-L8oCH" TargetMode="External"/><Relationship Id="rId4103" Type="http://schemas.openxmlformats.org/officeDocument/2006/relationships/hyperlink" Target="https://talan.bank.gov.ua/get-user-certificate/J5325CiPk4dKJATl6Lbe" TargetMode="External"/><Relationship Id="rId180" Type="http://schemas.openxmlformats.org/officeDocument/2006/relationships/hyperlink" Target="https://talan.bank.gov.ua/get-user-certificate/J5325fGZsm5GPxrm0s87" TargetMode="External"/><Relationship Id="rId1904" Type="http://schemas.openxmlformats.org/officeDocument/2006/relationships/hyperlink" Target="https://talan.bank.gov.ua/get-user-certificate/J5325_oJgbkeF3hj1ME2" TargetMode="External"/><Relationship Id="rId3869" Type="http://schemas.openxmlformats.org/officeDocument/2006/relationships/hyperlink" Target="https://talan.bank.gov.ua/get-user-certificate/J5325U_tDrTzO3CKqV4U" TargetMode="External"/><Relationship Id="rId997" Type="http://schemas.openxmlformats.org/officeDocument/2006/relationships/hyperlink" Target="https://talan.bank.gov.ua/get-user-certificate/J5325R9Qfc7OocVXOuqT" TargetMode="External"/><Relationship Id="rId2678" Type="http://schemas.openxmlformats.org/officeDocument/2006/relationships/hyperlink" Target="https://talan.bank.gov.ua/get-user-certificate/J5325XI3Xju6iF2gJ2H1" TargetMode="External"/><Relationship Id="rId2885" Type="http://schemas.openxmlformats.org/officeDocument/2006/relationships/hyperlink" Target="https://talan.bank.gov.ua/get-user-certificate/J5325L3QKztoofVvyAaH" TargetMode="External"/><Relationship Id="rId3729" Type="http://schemas.openxmlformats.org/officeDocument/2006/relationships/hyperlink" Target="https://talan.bank.gov.ua/get-user-certificate/J5325sbzCemBLq47bmiG" TargetMode="External"/><Relationship Id="rId3936" Type="http://schemas.openxmlformats.org/officeDocument/2006/relationships/hyperlink" Target="https://talan.bank.gov.ua/get-user-certificate/J5325D1KL03oMLTq5VVF" TargetMode="External"/><Relationship Id="rId857" Type="http://schemas.openxmlformats.org/officeDocument/2006/relationships/hyperlink" Target="https://talan.bank.gov.ua/get-user-certificate/J5325f6e0GwHtKkzt-YQ" TargetMode="External"/><Relationship Id="rId1487" Type="http://schemas.openxmlformats.org/officeDocument/2006/relationships/hyperlink" Target="https://talan.bank.gov.ua/get-user-certificate/J5325o_NAR-kEiX8PEv4" TargetMode="External"/><Relationship Id="rId1694" Type="http://schemas.openxmlformats.org/officeDocument/2006/relationships/hyperlink" Target="https://talan.bank.gov.ua/get-user-certificate/J5325VRD8DQnw00GqHZc" TargetMode="External"/><Relationship Id="rId2538" Type="http://schemas.openxmlformats.org/officeDocument/2006/relationships/hyperlink" Target="https://talan.bank.gov.ua/get-user-certificate/J53250UEZ0JKmJyNVPY6" TargetMode="External"/><Relationship Id="rId2745" Type="http://schemas.openxmlformats.org/officeDocument/2006/relationships/hyperlink" Target="https://talan.bank.gov.ua/get-user-certificate/J5325BZ8MoEJCd-untVm" TargetMode="External"/><Relationship Id="rId2952" Type="http://schemas.openxmlformats.org/officeDocument/2006/relationships/hyperlink" Target="https://talan.bank.gov.ua/get-user-certificate/J5325w3ru3XlB8cfxVcs" TargetMode="External"/><Relationship Id="rId717" Type="http://schemas.openxmlformats.org/officeDocument/2006/relationships/hyperlink" Target="https://talan.bank.gov.ua/get-user-certificate/J5325JTx8p2KXMpFi-3V" TargetMode="External"/><Relationship Id="rId924" Type="http://schemas.openxmlformats.org/officeDocument/2006/relationships/hyperlink" Target="https://talan.bank.gov.ua/get-user-certificate/J5325tS36ApSldQwEcGO" TargetMode="External"/><Relationship Id="rId1347" Type="http://schemas.openxmlformats.org/officeDocument/2006/relationships/hyperlink" Target="https://talan.bank.gov.ua/get-user-certificate/J5325-77buJDy72_pWMM" TargetMode="External"/><Relationship Id="rId1554" Type="http://schemas.openxmlformats.org/officeDocument/2006/relationships/hyperlink" Target="https://talan.bank.gov.ua/get-user-certificate/J5325fumdhT7xgwyJpqI" TargetMode="External"/><Relationship Id="rId1761" Type="http://schemas.openxmlformats.org/officeDocument/2006/relationships/hyperlink" Target="https://talan.bank.gov.ua/get-user-certificate/J5325KG3h4cat_UUDc7D" TargetMode="External"/><Relationship Id="rId2605" Type="http://schemas.openxmlformats.org/officeDocument/2006/relationships/hyperlink" Target="https://talan.bank.gov.ua/get-user-certificate/J5325bEh5af4NzuPXYNv" TargetMode="External"/><Relationship Id="rId2812" Type="http://schemas.openxmlformats.org/officeDocument/2006/relationships/hyperlink" Target="https://talan.bank.gov.ua/get-user-certificate/J53252HYkpKEocka34Wy" TargetMode="External"/><Relationship Id="rId53" Type="http://schemas.openxmlformats.org/officeDocument/2006/relationships/hyperlink" Target="https://talan.bank.gov.ua/get-user-certificate/J53256NEUdWCHq0VSBoE" TargetMode="External"/><Relationship Id="rId1207" Type="http://schemas.openxmlformats.org/officeDocument/2006/relationships/hyperlink" Target="https://talan.bank.gov.ua/get-user-certificate/J5325Y6N9-CuLm-HfymB" TargetMode="External"/><Relationship Id="rId1414" Type="http://schemas.openxmlformats.org/officeDocument/2006/relationships/hyperlink" Target="https://talan.bank.gov.ua/get-user-certificate/J5325GlzsENO0eYwHcVV" TargetMode="External"/><Relationship Id="rId1621" Type="http://schemas.openxmlformats.org/officeDocument/2006/relationships/hyperlink" Target="https://talan.bank.gov.ua/get-user-certificate/J5325lKGt-Mm1a1Vw8ga" TargetMode="External"/><Relationship Id="rId3379" Type="http://schemas.openxmlformats.org/officeDocument/2006/relationships/hyperlink" Target="https://talan.bank.gov.ua/get-user-certificate/J5325Lz5M12mxP3tEchA" TargetMode="External"/><Relationship Id="rId3586" Type="http://schemas.openxmlformats.org/officeDocument/2006/relationships/hyperlink" Target="https://talan.bank.gov.ua/get-user-certificate/J5325z_YohXby7SQpbAT" TargetMode="External"/><Relationship Id="rId3793" Type="http://schemas.openxmlformats.org/officeDocument/2006/relationships/hyperlink" Target="https://talan.bank.gov.ua/get-user-certificate/J53255FnKK-NzS_M2t_9" TargetMode="External"/><Relationship Id="rId2188" Type="http://schemas.openxmlformats.org/officeDocument/2006/relationships/hyperlink" Target="https://talan.bank.gov.ua/get-user-certificate/J5325a23R4GXLBQhzUkv" TargetMode="External"/><Relationship Id="rId2395" Type="http://schemas.openxmlformats.org/officeDocument/2006/relationships/hyperlink" Target="https://talan.bank.gov.ua/get-user-certificate/J5325iOP55DXwS3LBXvq" TargetMode="External"/><Relationship Id="rId3239" Type="http://schemas.openxmlformats.org/officeDocument/2006/relationships/hyperlink" Target="https://talan.bank.gov.ua/get-user-certificate/J5325H5n7Z5Qs6WI3iEj" TargetMode="External"/><Relationship Id="rId3446" Type="http://schemas.openxmlformats.org/officeDocument/2006/relationships/hyperlink" Target="https://talan.bank.gov.ua/get-user-certificate/J5325qPy4V58sdPANx2j" TargetMode="External"/><Relationship Id="rId367" Type="http://schemas.openxmlformats.org/officeDocument/2006/relationships/hyperlink" Target="https://talan.bank.gov.ua/get-user-certificate/J5325ZF-KgwfTRpIjPM5" TargetMode="External"/><Relationship Id="rId574" Type="http://schemas.openxmlformats.org/officeDocument/2006/relationships/hyperlink" Target="https://talan.bank.gov.ua/get-user-certificate/J5325t5bmz5gpIYvuKdD" TargetMode="External"/><Relationship Id="rId2048" Type="http://schemas.openxmlformats.org/officeDocument/2006/relationships/hyperlink" Target="https://talan.bank.gov.ua/get-user-certificate/J53256UuY8zrswnv6xg7" TargetMode="External"/><Relationship Id="rId2255" Type="http://schemas.openxmlformats.org/officeDocument/2006/relationships/hyperlink" Target="https://talan.bank.gov.ua/get-user-certificate/J5325RM4DwaCX2HVMtrn" TargetMode="External"/><Relationship Id="rId3653" Type="http://schemas.openxmlformats.org/officeDocument/2006/relationships/hyperlink" Target="https://talan.bank.gov.ua/get-user-certificate/J5325R2BsZzLqPDwa2vh" TargetMode="External"/><Relationship Id="rId3860" Type="http://schemas.openxmlformats.org/officeDocument/2006/relationships/hyperlink" Target="https://talan.bank.gov.ua/get-user-certificate/J5325l9KsktRrR3VFHAC" TargetMode="External"/><Relationship Id="rId227" Type="http://schemas.openxmlformats.org/officeDocument/2006/relationships/hyperlink" Target="https://talan.bank.gov.ua/get-user-certificate/J5325qeh7cmJQ--8tMiL" TargetMode="External"/><Relationship Id="rId781" Type="http://schemas.openxmlformats.org/officeDocument/2006/relationships/hyperlink" Target="https://talan.bank.gov.ua/get-user-certificate/J5325O4E1gk4YJVcZxSU" TargetMode="External"/><Relationship Id="rId2462" Type="http://schemas.openxmlformats.org/officeDocument/2006/relationships/hyperlink" Target="https://talan.bank.gov.ua/get-user-certificate/J53258rsVBBp_MwyU1NC" TargetMode="External"/><Relationship Id="rId3306" Type="http://schemas.openxmlformats.org/officeDocument/2006/relationships/hyperlink" Target="https://talan.bank.gov.ua/get-user-certificate/J5325UwGo5Vy5qiPpxPx" TargetMode="External"/><Relationship Id="rId3513" Type="http://schemas.openxmlformats.org/officeDocument/2006/relationships/hyperlink" Target="https://talan.bank.gov.ua/get-user-certificate/J5325QKzn6c9t1eUJTWT" TargetMode="External"/><Relationship Id="rId3720" Type="http://schemas.openxmlformats.org/officeDocument/2006/relationships/hyperlink" Target="https://talan.bank.gov.ua/get-user-certificate/J5325d7kNNJZk5fCN7na" TargetMode="External"/><Relationship Id="rId434" Type="http://schemas.openxmlformats.org/officeDocument/2006/relationships/hyperlink" Target="https://talan.bank.gov.ua/get-user-certificate/J5325XQ-L4o-g5L0KbKJ" TargetMode="External"/><Relationship Id="rId641" Type="http://schemas.openxmlformats.org/officeDocument/2006/relationships/hyperlink" Target="https://talan.bank.gov.ua/get-user-certificate/J5325OiD7uFj7oBNBYgw" TargetMode="External"/><Relationship Id="rId1064" Type="http://schemas.openxmlformats.org/officeDocument/2006/relationships/hyperlink" Target="https://talan.bank.gov.ua/get-user-certificate/J5325GPC0k7LaCgfZWGc" TargetMode="External"/><Relationship Id="rId1271" Type="http://schemas.openxmlformats.org/officeDocument/2006/relationships/hyperlink" Target="https://talan.bank.gov.ua/get-user-certificate/J5325jOmIOZaEhxf77o-" TargetMode="External"/><Relationship Id="rId2115" Type="http://schemas.openxmlformats.org/officeDocument/2006/relationships/hyperlink" Target="https://talan.bank.gov.ua/get-user-certificate/J5325s2o-7rx28J5-bAq" TargetMode="External"/><Relationship Id="rId2322" Type="http://schemas.openxmlformats.org/officeDocument/2006/relationships/hyperlink" Target="https://talan.bank.gov.ua/get-user-certificate/J53258kjQqRyWn6WzNrN" TargetMode="External"/><Relationship Id="rId501" Type="http://schemas.openxmlformats.org/officeDocument/2006/relationships/hyperlink" Target="https://talan.bank.gov.ua/get-user-certificate/J5325kmutSyKoWNm3i5V" TargetMode="External"/><Relationship Id="rId1131" Type="http://schemas.openxmlformats.org/officeDocument/2006/relationships/hyperlink" Target="https://talan.bank.gov.ua/get-user-certificate/J5325IlLhJ9FMQX1DXTP" TargetMode="External"/><Relationship Id="rId3096" Type="http://schemas.openxmlformats.org/officeDocument/2006/relationships/hyperlink" Target="https://talan.bank.gov.ua/get-user-certificate/J5325xvs_XtqRZi75CNV" TargetMode="External"/><Relationship Id="rId4147" Type="http://schemas.openxmlformats.org/officeDocument/2006/relationships/hyperlink" Target="https://talan.bank.gov.ua/get-user-certificate/J5325HL2R7y8KryzJcF_" TargetMode="External"/><Relationship Id="rId1948" Type="http://schemas.openxmlformats.org/officeDocument/2006/relationships/hyperlink" Target="https://talan.bank.gov.ua/get-user-certificate/J5325uKfMAthJN-gTJw9" TargetMode="External"/><Relationship Id="rId3163" Type="http://schemas.openxmlformats.org/officeDocument/2006/relationships/hyperlink" Target="https://talan.bank.gov.ua/get-user-certificate/J5325HAKRu9O5737lai8" TargetMode="External"/><Relationship Id="rId3370" Type="http://schemas.openxmlformats.org/officeDocument/2006/relationships/hyperlink" Target="https://talan.bank.gov.ua/get-user-certificate/J5325Gks0fhZdj1d38eh" TargetMode="External"/><Relationship Id="rId4007" Type="http://schemas.openxmlformats.org/officeDocument/2006/relationships/hyperlink" Target="https://talan.bank.gov.ua/get-user-certificate/J5325q0-kpFQOR9tzbtA" TargetMode="External"/><Relationship Id="rId4214" Type="http://schemas.openxmlformats.org/officeDocument/2006/relationships/hyperlink" Target="https://talan.bank.gov.ua/get-user-certificate/lHoZPmd2h-ee25A9r3es" TargetMode="External"/><Relationship Id="rId291" Type="http://schemas.openxmlformats.org/officeDocument/2006/relationships/hyperlink" Target="https://talan.bank.gov.ua/get-user-certificate/J53256gZmOw0SLLjIHg-" TargetMode="External"/><Relationship Id="rId1808" Type="http://schemas.openxmlformats.org/officeDocument/2006/relationships/hyperlink" Target="https://talan.bank.gov.ua/get-user-certificate/J5325BeXF7Nkjcpm018c" TargetMode="External"/><Relationship Id="rId3023" Type="http://schemas.openxmlformats.org/officeDocument/2006/relationships/hyperlink" Target="https://talan.bank.gov.ua/get-user-certificate/J5325-l_cMm2evlYvXdI" TargetMode="External"/><Relationship Id="rId151" Type="http://schemas.openxmlformats.org/officeDocument/2006/relationships/hyperlink" Target="https://talan.bank.gov.ua/get-user-certificate/J53258sc8UU914Dnxiwg" TargetMode="External"/><Relationship Id="rId3230" Type="http://schemas.openxmlformats.org/officeDocument/2006/relationships/hyperlink" Target="https://talan.bank.gov.ua/get-user-certificate/J53257LyxSD-faLjvBvO" TargetMode="External"/><Relationship Id="rId2789" Type="http://schemas.openxmlformats.org/officeDocument/2006/relationships/hyperlink" Target="https://talan.bank.gov.ua/get-user-certificate/J5325eySzeaaLT_hjVAg" TargetMode="External"/><Relationship Id="rId2996" Type="http://schemas.openxmlformats.org/officeDocument/2006/relationships/hyperlink" Target="https://talan.bank.gov.ua/get-user-certificate/J5325z40_fPKosiBqgUc" TargetMode="External"/><Relationship Id="rId968" Type="http://schemas.openxmlformats.org/officeDocument/2006/relationships/hyperlink" Target="https://talan.bank.gov.ua/get-user-certificate/J5325xmatPZEytZf5cQ3" TargetMode="External"/><Relationship Id="rId1598" Type="http://schemas.openxmlformats.org/officeDocument/2006/relationships/hyperlink" Target="https://talan.bank.gov.ua/get-user-certificate/J5325eIyluPb6y0WGcOE" TargetMode="External"/><Relationship Id="rId2649" Type="http://schemas.openxmlformats.org/officeDocument/2006/relationships/hyperlink" Target="https://talan.bank.gov.ua/get-user-certificate/J5325J5tcMr4mbzj7uI0" TargetMode="External"/><Relationship Id="rId2856" Type="http://schemas.openxmlformats.org/officeDocument/2006/relationships/hyperlink" Target="https://talan.bank.gov.ua/get-user-certificate/J5325J8ib67eD4HrYyyN" TargetMode="External"/><Relationship Id="rId3907" Type="http://schemas.openxmlformats.org/officeDocument/2006/relationships/hyperlink" Target="https://talan.bank.gov.ua/get-user-certificate/J5325CBccGgW2XpqSthN" TargetMode="External"/><Relationship Id="rId97" Type="http://schemas.openxmlformats.org/officeDocument/2006/relationships/hyperlink" Target="https://talan.bank.gov.ua/get-user-certificate/J5325GoN-KNkOYgAhT5m" TargetMode="External"/><Relationship Id="rId828" Type="http://schemas.openxmlformats.org/officeDocument/2006/relationships/hyperlink" Target="https://talan.bank.gov.ua/get-user-certificate/J5325GeAaYLR6EoXsTKN" TargetMode="External"/><Relationship Id="rId1458" Type="http://schemas.openxmlformats.org/officeDocument/2006/relationships/hyperlink" Target="https://talan.bank.gov.ua/get-user-certificate/J5325O0vo6P3ISM_WBWZ" TargetMode="External"/><Relationship Id="rId1665" Type="http://schemas.openxmlformats.org/officeDocument/2006/relationships/hyperlink" Target="https://talan.bank.gov.ua/get-user-certificate/J53251Unk2ZqJ3SSDoXf" TargetMode="External"/><Relationship Id="rId1872" Type="http://schemas.openxmlformats.org/officeDocument/2006/relationships/hyperlink" Target="https://talan.bank.gov.ua/get-user-certificate/J5325IK4k4WpnpClMVB7" TargetMode="External"/><Relationship Id="rId2509" Type="http://schemas.openxmlformats.org/officeDocument/2006/relationships/hyperlink" Target="https://talan.bank.gov.ua/get-user-certificate/J5325WxvQ6UgN9KWQTWr" TargetMode="External"/><Relationship Id="rId2716" Type="http://schemas.openxmlformats.org/officeDocument/2006/relationships/hyperlink" Target="https://talan.bank.gov.ua/get-user-certificate/J5325xjyfumsLNQ05YVT" TargetMode="External"/><Relationship Id="rId4071" Type="http://schemas.openxmlformats.org/officeDocument/2006/relationships/hyperlink" Target="https://talan.bank.gov.ua/get-user-certificate/J5325POQWWgdkHymtc65" TargetMode="External"/><Relationship Id="rId1318" Type="http://schemas.openxmlformats.org/officeDocument/2006/relationships/hyperlink" Target="https://talan.bank.gov.ua/get-user-certificate/J5325-XbsD5dG0ExLM8M" TargetMode="External"/><Relationship Id="rId1525" Type="http://schemas.openxmlformats.org/officeDocument/2006/relationships/hyperlink" Target="https://talan.bank.gov.ua/get-user-certificate/J5325x3_BNnxu12TJsRe" TargetMode="External"/><Relationship Id="rId2923" Type="http://schemas.openxmlformats.org/officeDocument/2006/relationships/hyperlink" Target="https://talan.bank.gov.ua/get-user-certificate/J5325Y5humGrwak7AFLr" TargetMode="External"/><Relationship Id="rId1732" Type="http://schemas.openxmlformats.org/officeDocument/2006/relationships/hyperlink" Target="https://talan.bank.gov.ua/get-user-certificate/J5325obRQ4KnRmnvCHLh" TargetMode="External"/><Relationship Id="rId24" Type="http://schemas.openxmlformats.org/officeDocument/2006/relationships/hyperlink" Target="https://talan.bank.gov.ua/get-user-certificate/J532592QdHuxgqKmorD9" TargetMode="External"/><Relationship Id="rId2299" Type="http://schemas.openxmlformats.org/officeDocument/2006/relationships/hyperlink" Target="https://talan.bank.gov.ua/get-user-certificate/J53256EqMpjviiF3PRSk" TargetMode="External"/><Relationship Id="rId3697" Type="http://schemas.openxmlformats.org/officeDocument/2006/relationships/hyperlink" Target="https://talan.bank.gov.ua/get-user-certificate/J5325lzUQ5GE43xlz_ti" TargetMode="External"/><Relationship Id="rId3557" Type="http://schemas.openxmlformats.org/officeDocument/2006/relationships/hyperlink" Target="https://talan.bank.gov.ua/get-user-certificate/J5325nYVj4eIXdbSOsRG" TargetMode="External"/><Relationship Id="rId3764" Type="http://schemas.openxmlformats.org/officeDocument/2006/relationships/hyperlink" Target="https://talan.bank.gov.ua/get-user-certificate/J5325CIXEJXSC4O_WYnx" TargetMode="External"/><Relationship Id="rId3971" Type="http://schemas.openxmlformats.org/officeDocument/2006/relationships/hyperlink" Target="https://talan.bank.gov.ua/get-user-certificate/J5325NtbsQm-RxCROpvU" TargetMode="External"/><Relationship Id="rId478" Type="http://schemas.openxmlformats.org/officeDocument/2006/relationships/hyperlink" Target="https://talan.bank.gov.ua/get-user-certificate/J5325zJIBKx0fmjbzx1z" TargetMode="External"/><Relationship Id="rId685" Type="http://schemas.openxmlformats.org/officeDocument/2006/relationships/hyperlink" Target="https://talan.bank.gov.ua/get-user-certificate/J5325-VyQ80rK_S_20oJ" TargetMode="External"/><Relationship Id="rId892" Type="http://schemas.openxmlformats.org/officeDocument/2006/relationships/hyperlink" Target="https://talan.bank.gov.ua/get-user-certificate/J53258B83sgc9qRjohgr" TargetMode="External"/><Relationship Id="rId2159" Type="http://schemas.openxmlformats.org/officeDocument/2006/relationships/hyperlink" Target="https://talan.bank.gov.ua/get-user-certificate/J5325-fhs7UrYpM36xM_" TargetMode="External"/><Relationship Id="rId2366" Type="http://schemas.openxmlformats.org/officeDocument/2006/relationships/hyperlink" Target="https://talan.bank.gov.ua/get-user-certificate/J5325dK-zWOEtrUrcJgl" TargetMode="External"/><Relationship Id="rId2573" Type="http://schemas.openxmlformats.org/officeDocument/2006/relationships/hyperlink" Target="https://talan.bank.gov.ua/get-user-certificate/J5325AlrNNU-vXzMnTX9" TargetMode="External"/><Relationship Id="rId2780" Type="http://schemas.openxmlformats.org/officeDocument/2006/relationships/hyperlink" Target="https://talan.bank.gov.ua/get-user-certificate/J5325Wf0prfFyXa5VC8Y" TargetMode="External"/><Relationship Id="rId3417" Type="http://schemas.openxmlformats.org/officeDocument/2006/relationships/hyperlink" Target="https://talan.bank.gov.ua/get-user-certificate/J5325yP-14WLEWJDZXz7" TargetMode="External"/><Relationship Id="rId3624" Type="http://schemas.openxmlformats.org/officeDocument/2006/relationships/hyperlink" Target="https://talan.bank.gov.ua/get-user-certificate/J5325JHFmeumoDh_xZeV" TargetMode="External"/><Relationship Id="rId3831" Type="http://schemas.openxmlformats.org/officeDocument/2006/relationships/hyperlink" Target="https://talan.bank.gov.ua/get-user-certificate/J5325R1BBqaEtCMDDK0h" TargetMode="External"/><Relationship Id="rId338" Type="http://schemas.openxmlformats.org/officeDocument/2006/relationships/hyperlink" Target="https://talan.bank.gov.ua/get-user-certificate/J5325GALVV3w_JaTP2P0" TargetMode="External"/><Relationship Id="rId545" Type="http://schemas.openxmlformats.org/officeDocument/2006/relationships/hyperlink" Target="https://talan.bank.gov.ua/get-user-certificate/J5325YZooyVCtuLXH7CH" TargetMode="External"/><Relationship Id="rId752" Type="http://schemas.openxmlformats.org/officeDocument/2006/relationships/hyperlink" Target="https://talan.bank.gov.ua/get-user-certificate/J5325HallF-qeKlqMqGJ" TargetMode="External"/><Relationship Id="rId1175" Type="http://schemas.openxmlformats.org/officeDocument/2006/relationships/hyperlink" Target="https://talan.bank.gov.ua/get-user-certificate/J5325DdmrYmMvZYD94Pq" TargetMode="External"/><Relationship Id="rId1382" Type="http://schemas.openxmlformats.org/officeDocument/2006/relationships/hyperlink" Target="https://talan.bank.gov.ua/get-user-certificate/J5325sd2GWSlCKpzGj2m" TargetMode="External"/><Relationship Id="rId2019" Type="http://schemas.openxmlformats.org/officeDocument/2006/relationships/hyperlink" Target="https://talan.bank.gov.ua/get-user-certificate/J5325i3dCbPOZjbMpmXi" TargetMode="External"/><Relationship Id="rId2226" Type="http://schemas.openxmlformats.org/officeDocument/2006/relationships/hyperlink" Target="https://talan.bank.gov.ua/get-user-certificate/J5325DN-B2o_Ta9ox5f_" TargetMode="External"/><Relationship Id="rId2433" Type="http://schemas.openxmlformats.org/officeDocument/2006/relationships/hyperlink" Target="https://talan.bank.gov.ua/get-user-certificate/J53255XrGKAo_o_IkJ1I" TargetMode="External"/><Relationship Id="rId2640" Type="http://schemas.openxmlformats.org/officeDocument/2006/relationships/hyperlink" Target="https://talan.bank.gov.ua/get-user-certificate/J5325TC7xu_Izmyn9HKM" TargetMode="External"/><Relationship Id="rId405" Type="http://schemas.openxmlformats.org/officeDocument/2006/relationships/hyperlink" Target="https://talan.bank.gov.ua/get-user-certificate/J5325gmmIiWvJWqHhilH" TargetMode="External"/><Relationship Id="rId612" Type="http://schemas.openxmlformats.org/officeDocument/2006/relationships/hyperlink" Target="https://talan.bank.gov.ua/get-user-certificate/J5325yjJd1Nexi1Id7Td" TargetMode="External"/><Relationship Id="rId1035" Type="http://schemas.openxmlformats.org/officeDocument/2006/relationships/hyperlink" Target="https://talan.bank.gov.ua/get-user-certificate/J5325RM1u_tzP9Y22aCI" TargetMode="External"/><Relationship Id="rId1242" Type="http://schemas.openxmlformats.org/officeDocument/2006/relationships/hyperlink" Target="https://talan.bank.gov.ua/get-user-certificate/J5325AtgRWoJzGbFoB9I" TargetMode="External"/><Relationship Id="rId2500" Type="http://schemas.openxmlformats.org/officeDocument/2006/relationships/hyperlink" Target="https://talan.bank.gov.ua/get-user-certificate/J5325m3GnMJ5rtmEkJ8L" TargetMode="External"/><Relationship Id="rId1102" Type="http://schemas.openxmlformats.org/officeDocument/2006/relationships/hyperlink" Target="https://talan.bank.gov.ua/get-user-certificate/J5325MLnzDT7qbaAZKcO" TargetMode="External"/><Relationship Id="rId4258" Type="http://schemas.openxmlformats.org/officeDocument/2006/relationships/hyperlink" Target="https://talan.bank.gov.ua/get-user-certificate/CYWPHyMSD4k_pL_H71e8" TargetMode="External"/><Relationship Id="rId3067" Type="http://schemas.openxmlformats.org/officeDocument/2006/relationships/hyperlink" Target="https://talan.bank.gov.ua/get-user-certificate/J53251uYzezbEyEmQXcT" TargetMode="External"/><Relationship Id="rId3274" Type="http://schemas.openxmlformats.org/officeDocument/2006/relationships/hyperlink" Target="https://talan.bank.gov.ua/get-user-certificate/J5325HZf3p3EiW0OdsHb" TargetMode="External"/><Relationship Id="rId4118" Type="http://schemas.openxmlformats.org/officeDocument/2006/relationships/hyperlink" Target="https://talan.bank.gov.ua/get-user-certificate/J5325YrvsYXvWGBZL72J" TargetMode="External"/><Relationship Id="rId195" Type="http://schemas.openxmlformats.org/officeDocument/2006/relationships/hyperlink" Target="https://talan.bank.gov.ua/get-user-certificate/J5325khbmt01OMs1OLTV" TargetMode="External"/><Relationship Id="rId1919" Type="http://schemas.openxmlformats.org/officeDocument/2006/relationships/hyperlink" Target="https://talan.bank.gov.ua/get-user-certificate/J5325p3q9vfk2dOh8elJ" TargetMode="External"/><Relationship Id="rId3481" Type="http://schemas.openxmlformats.org/officeDocument/2006/relationships/hyperlink" Target="https://talan.bank.gov.ua/get-user-certificate/J5325z-nAQDcJS7HNE6U" TargetMode="External"/><Relationship Id="rId2083" Type="http://schemas.openxmlformats.org/officeDocument/2006/relationships/hyperlink" Target="https://talan.bank.gov.ua/get-user-certificate/J5325X8EAySoMZdG6Xoa" TargetMode="External"/><Relationship Id="rId2290" Type="http://schemas.openxmlformats.org/officeDocument/2006/relationships/hyperlink" Target="https://talan.bank.gov.ua/get-user-certificate/J5325Ftx7YpU26BKZdFG" TargetMode="External"/><Relationship Id="rId3134" Type="http://schemas.openxmlformats.org/officeDocument/2006/relationships/hyperlink" Target="https://talan.bank.gov.ua/get-user-certificate/J5325iYXbrm6yCXo44zv" TargetMode="External"/><Relationship Id="rId3341" Type="http://schemas.openxmlformats.org/officeDocument/2006/relationships/hyperlink" Target="https://talan.bank.gov.ua/get-user-certificate/J5325sLG0YtofRCEgYnT" TargetMode="External"/><Relationship Id="rId262" Type="http://schemas.openxmlformats.org/officeDocument/2006/relationships/hyperlink" Target="https://talan.bank.gov.ua/get-user-certificate/J5325oMnMj12J5OVxD4k" TargetMode="External"/><Relationship Id="rId2150" Type="http://schemas.openxmlformats.org/officeDocument/2006/relationships/hyperlink" Target="https://talan.bank.gov.ua/get-user-certificate/J5325fUyUdpOEWh6h2D0" TargetMode="External"/><Relationship Id="rId3201" Type="http://schemas.openxmlformats.org/officeDocument/2006/relationships/hyperlink" Target="https://talan.bank.gov.ua/get-user-certificate/J5325FU78p7cCkNzT-nV" TargetMode="External"/><Relationship Id="rId122" Type="http://schemas.openxmlformats.org/officeDocument/2006/relationships/hyperlink" Target="https://talan.bank.gov.ua/get-user-certificate/J5325yDTCqpoUHxBqYdE" TargetMode="External"/><Relationship Id="rId2010" Type="http://schemas.openxmlformats.org/officeDocument/2006/relationships/hyperlink" Target="https://talan.bank.gov.ua/get-user-certificate/J5325h54Fjbmyyw4ccn1" TargetMode="External"/><Relationship Id="rId1569" Type="http://schemas.openxmlformats.org/officeDocument/2006/relationships/hyperlink" Target="https://talan.bank.gov.ua/get-user-certificate/J53252HlHVMh7ujxRjyH" TargetMode="External"/><Relationship Id="rId2967" Type="http://schemas.openxmlformats.org/officeDocument/2006/relationships/hyperlink" Target="https://talan.bank.gov.ua/get-user-certificate/J5325Wgzv4qyRjeOVW81" TargetMode="External"/><Relationship Id="rId4182" Type="http://schemas.openxmlformats.org/officeDocument/2006/relationships/hyperlink" Target="https://talan.bank.gov.ua/get-user-certificate/TbxZWXpgazUdDgzywRX7" TargetMode="External"/><Relationship Id="rId939" Type="http://schemas.openxmlformats.org/officeDocument/2006/relationships/hyperlink" Target="https://talan.bank.gov.ua/get-user-certificate/J5325L06Dcphf0FvC0Vm" TargetMode="External"/><Relationship Id="rId1776" Type="http://schemas.openxmlformats.org/officeDocument/2006/relationships/hyperlink" Target="https://talan.bank.gov.ua/get-user-certificate/J5325BuJG5zgLZxECM60" TargetMode="External"/><Relationship Id="rId1983" Type="http://schemas.openxmlformats.org/officeDocument/2006/relationships/hyperlink" Target="https://talan.bank.gov.ua/get-user-certificate/J5325T0uVu_fZMMdiIJb" TargetMode="External"/><Relationship Id="rId2827" Type="http://schemas.openxmlformats.org/officeDocument/2006/relationships/hyperlink" Target="https://talan.bank.gov.ua/get-user-certificate/J5325M_ofMOdA6yQBRXo" TargetMode="External"/><Relationship Id="rId4042" Type="http://schemas.openxmlformats.org/officeDocument/2006/relationships/hyperlink" Target="https://talan.bank.gov.ua/get-user-certificate/J5325xpvCpKvhvx6D6gu" TargetMode="External"/><Relationship Id="rId68" Type="http://schemas.openxmlformats.org/officeDocument/2006/relationships/hyperlink" Target="https://talan.bank.gov.ua/get-user-certificate/J5325lnYARQHIKtGlLHH" TargetMode="External"/><Relationship Id="rId1429" Type="http://schemas.openxmlformats.org/officeDocument/2006/relationships/hyperlink" Target="https://talan.bank.gov.ua/get-user-certificate/J5325cNFVS3ZUowN4MPI" TargetMode="External"/><Relationship Id="rId1636" Type="http://schemas.openxmlformats.org/officeDocument/2006/relationships/hyperlink" Target="https://talan.bank.gov.ua/get-user-certificate/J5325w8_IN2Eblha8neU" TargetMode="External"/><Relationship Id="rId1843" Type="http://schemas.openxmlformats.org/officeDocument/2006/relationships/hyperlink" Target="https://talan.bank.gov.ua/get-user-certificate/J5325PGEu8HWXkm9l_Zt" TargetMode="External"/><Relationship Id="rId1703" Type="http://schemas.openxmlformats.org/officeDocument/2006/relationships/hyperlink" Target="https://talan.bank.gov.ua/get-user-certificate/J53251NEWsLwa4MlYJMf" TargetMode="External"/><Relationship Id="rId1910" Type="http://schemas.openxmlformats.org/officeDocument/2006/relationships/hyperlink" Target="https://talan.bank.gov.ua/get-user-certificate/J5325JV8ncMbkDlBRK7d" TargetMode="External"/><Relationship Id="rId3668" Type="http://schemas.openxmlformats.org/officeDocument/2006/relationships/hyperlink" Target="https://talan.bank.gov.ua/get-user-certificate/J5325vq8IgEahhhqQy6L" TargetMode="External"/><Relationship Id="rId3875" Type="http://schemas.openxmlformats.org/officeDocument/2006/relationships/hyperlink" Target="https://talan.bank.gov.ua/get-user-certificate/J5325lqGeT8GWAm3EkkX" TargetMode="External"/><Relationship Id="rId589" Type="http://schemas.openxmlformats.org/officeDocument/2006/relationships/hyperlink" Target="https://talan.bank.gov.ua/get-user-certificate/J5325evU8ZBmInQR2KYl" TargetMode="External"/><Relationship Id="rId796" Type="http://schemas.openxmlformats.org/officeDocument/2006/relationships/hyperlink" Target="https://talan.bank.gov.ua/get-user-certificate/J53253lHUQLE88uFxTwS" TargetMode="External"/><Relationship Id="rId2477" Type="http://schemas.openxmlformats.org/officeDocument/2006/relationships/hyperlink" Target="https://talan.bank.gov.ua/get-user-certificate/J5325Cn-H4qsAN3YlZYI" TargetMode="External"/><Relationship Id="rId2684" Type="http://schemas.openxmlformats.org/officeDocument/2006/relationships/hyperlink" Target="https://talan.bank.gov.ua/get-user-certificate/J5325bsYAjuvWbBuCaee" TargetMode="External"/><Relationship Id="rId3528" Type="http://schemas.openxmlformats.org/officeDocument/2006/relationships/hyperlink" Target="https://talan.bank.gov.ua/get-user-certificate/J5325NRkzh-Rzu1niGl5" TargetMode="External"/><Relationship Id="rId3735" Type="http://schemas.openxmlformats.org/officeDocument/2006/relationships/hyperlink" Target="https://talan.bank.gov.ua/get-user-certificate/J5325_C96dLD0MjjbeI_" TargetMode="External"/><Relationship Id="rId449" Type="http://schemas.openxmlformats.org/officeDocument/2006/relationships/hyperlink" Target="https://talan.bank.gov.ua/get-user-certificate/J5325kMG0Q48XdcgBSBp" TargetMode="External"/><Relationship Id="rId656" Type="http://schemas.openxmlformats.org/officeDocument/2006/relationships/hyperlink" Target="https://talan.bank.gov.ua/get-user-certificate/J5325sa4jvfssMDo6Whu" TargetMode="External"/><Relationship Id="rId863" Type="http://schemas.openxmlformats.org/officeDocument/2006/relationships/hyperlink" Target="https://talan.bank.gov.ua/get-user-certificate/J5325KGnHHeJuFB3Qfcl" TargetMode="External"/><Relationship Id="rId1079" Type="http://schemas.openxmlformats.org/officeDocument/2006/relationships/hyperlink" Target="https://talan.bank.gov.ua/get-user-certificate/J5325Eer9fwKZgpB5wAZ" TargetMode="External"/><Relationship Id="rId1286" Type="http://schemas.openxmlformats.org/officeDocument/2006/relationships/hyperlink" Target="https://talan.bank.gov.ua/get-user-certificate/J5325TGppqfa2PfM97sD" TargetMode="External"/><Relationship Id="rId1493" Type="http://schemas.openxmlformats.org/officeDocument/2006/relationships/hyperlink" Target="https://talan.bank.gov.ua/get-user-certificate/J5325urTlHM8CAQueDvM" TargetMode="External"/><Relationship Id="rId2337" Type="http://schemas.openxmlformats.org/officeDocument/2006/relationships/hyperlink" Target="https://talan.bank.gov.ua/get-user-certificate/J5325AnulGiLh0r9GS6J" TargetMode="External"/><Relationship Id="rId2544" Type="http://schemas.openxmlformats.org/officeDocument/2006/relationships/hyperlink" Target="https://talan.bank.gov.ua/get-user-certificate/J5325euyjfzqDSDwKjMx" TargetMode="External"/><Relationship Id="rId2891" Type="http://schemas.openxmlformats.org/officeDocument/2006/relationships/hyperlink" Target="https://talan.bank.gov.ua/get-user-certificate/J53252b4NM34WxK7Iyll" TargetMode="External"/><Relationship Id="rId3942" Type="http://schemas.openxmlformats.org/officeDocument/2006/relationships/hyperlink" Target="https://talan.bank.gov.ua/get-user-certificate/J5325tntBo1PiRUaeZ6n" TargetMode="External"/><Relationship Id="rId309" Type="http://schemas.openxmlformats.org/officeDocument/2006/relationships/hyperlink" Target="https://talan.bank.gov.ua/get-user-certificate/J5325sGu6Xcs5XLahGnf" TargetMode="External"/><Relationship Id="rId516" Type="http://schemas.openxmlformats.org/officeDocument/2006/relationships/hyperlink" Target="https://talan.bank.gov.ua/get-user-certificate/J5325N9ZYBd2Rf616tOE" TargetMode="External"/><Relationship Id="rId1146" Type="http://schemas.openxmlformats.org/officeDocument/2006/relationships/hyperlink" Target="https://talan.bank.gov.ua/get-user-certificate/J53256pivR8bG35fu4xu" TargetMode="External"/><Relationship Id="rId2751" Type="http://schemas.openxmlformats.org/officeDocument/2006/relationships/hyperlink" Target="https://talan.bank.gov.ua/get-user-certificate/J5325HVuOc2B_mt0uGLC" TargetMode="External"/><Relationship Id="rId3802" Type="http://schemas.openxmlformats.org/officeDocument/2006/relationships/hyperlink" Target="https://talan.bank.gov.ua/get-user-certificate/J532512nfd6eu-DBr2G_" TargetMode="External"/><Relationship Id="rId723" Type="http://schemas.openxmlformats.org/officeDocument/2006/relationships/hyperlink" Target="https://talan.bank.gov.ua/get-user-certificate/J5325AxY6TACzMIT2K7T" TargetMode="External"/><Relationship Id="rId930" Type="http://schemas.openxmlformats.org/officeDocument/2006/relationships/hyperlink" Target="https://talan.bank.gov.ua/get-user-certificate/J5325ton660RBsgNChy-" TargetMode="External"/><Relationship Id="rId1006" Type="http://schemas.openxmlformats.org/officeDocument/2006/relationships/hyperlink" Target="https://talan.bank.gov.ua/get-user-certificate/J5325ijp_GmdZAHILwDj" TargetMode="External"/><Relationship Id="rId1353" Type="http://schemas.openxmlformats.org/officeDocument/2006/relationships/hyperlink" Target="https://talan.bank.gov.ua/get-user-certificate/J5325m8QYKHWcsgcJmEn" TargetMode="External"/><Relationship Id="rId1560" Type="http://schemas.openxmlformats.org/officeDocument/2006/relationships/hyperlink" Target="https://talan.bank.gov.ua/get-user-certificate/J53258oBKL8828Ko0j_7" TargetMode="External"/><Relationship Id="rId2404" Type="http://schemas.openxmlformats.org/officeDocument/2006/relationships/hyperlink" Target="https://talan.bank.gov.ua/get-user-certificate/J5325OkOxWNjbgCHG9bu" TargetMode="External"/><Relationship Id="rId2611" Type="http://schemas.openxmlformats.org/officeDocument/2006/relationships/hyperlink" Target="https://talan.bank.gov.ua/get-user-certificate/J53251nIH7-npg5gkEYb" TargetMode="External"/><Relationship Id="rId1213" Type="http://schemas.openxmlformats.org/officeDocument/2006/relationships/hyperlink" Target="https://talan.bank.gov.ua/get-user-certificate/J5325h47YkUrErkaSGls" TargetMode="External"/><Relationship Id="rId1420" Type="http://schemas.openxmlformats.org/officeDocument/2006/relationships/hyperlink" Target="https://talan.bank.gov.ua/get-user-certificate/J5325GZKPRxPqWew7vdI" TargetMode="External"/><Relationship Id="rId3178" Type="http://schemas.openxmlformats.org/officeDocument/2006/relationships/hyperlink" Target="https://talan.bank.gov.ua/get-user-certificate/J5325PXZY0H9cA4Gm4cx" TargetMode="External"/><Relationship Id="rId3385" Type="http://schemas.openxmlformats.org/officeDocument/2006/relationships/hyperlink" Target="https://talan.bank.gov.ua/get-user-certificate/J5325JO-c7gEOHeajabT" TargetMode="External"/><Relationship Id="rId3592" Type="http://schemas.openxmlformats.org/officeDocument/2006/relationships/hyperlink" Target="https://talan.bank.gov.ua/get-user-certificate/J5325s73ZYGwTURGzqIe" TargetMode="External"/><Relationship Id="rId4229" Type="http://schemas.openxmlformats.org/officeDocument/2006/relationships/hyperlink" Target="https://talan.bank.gov.ua/get-user-certificate/CYWPHXcbJ4lPM299w6c4" TargetMode="External"/><Relationship Id="rId2194" Type="http://schemas.openxmlformats.org/officeDocument/2006/relationships/hyperlink" Target="https://talan.bank.gov.ua/get-user-certificate/J5325PYF-d8FVJIJGXTc" TargetMode="External"/><Relationship Id="rId3038" Type="http://schemas.openxmlformats.org/officeDocument/2006/relationships/hyperlink" Target="https://talan.bank.gov.ua/get-user-certificate/J5325-twtkPlrrp2ugN9" TargetMode="External"/><Relationship Id="rId3245" Type="http://schemas.openxmlformats.org/officeDocument/2006/relationships/hyperlink" Target="https://talan.bank.gov.ua/get-user-certificate/J5325m9ffbPtyOCGNgb1" TargetMode="External"/><Relationship Id="rId3452" Type="http://schemas.openxmlformats.org/officeDocument/2006/relationships/hyperlink" Target="https://talan.bank.gov.ua/get-user-certificate/J5325HvOhtV5rlii5O1q" TargetMode="External"/><Relationship Id="rId166" Type="http://schemas.openxmlformats.org/officeDocument/2006/relationships/hyperlink" Target="https://talan.bank.gov.ua/get-user-certificate/J5325jgrIKNfuuKmIECq" TargetMode="External"/><Relationship Id="rId373" Type="http://schemas.openxmlformats.org/officeDocument/2006/relationships/hyperlink" Target="https://talan.bank.gov.ua/get-user-certificate/J5325kdYLazve1XiPjJ1" TargetMode="External"/><Relationship Id="rId580" Type="http://schemas.openxmlformats.org/officeDocument/2006/relationships/hyperlink" Target="https://talan.bank.gov.ua/get-user-certificate/J5325m5PvGRiyu-K1m42" TargetMode="External"/><Relationship Id="rId2054" Type="http://schemas.openxmlformats.org/officeDocument/2006/relationships/hyperlink" Target="https://talan.bank.gov.ua/get-user-certificate/J53255Jynp7aAx7t6elV" TargetMode="External"/><Relationship Id="rId2261" Type="http://schemas.openxmlformats.org/officeDocument/2006/relationships/hyperlink" Target="https://talan.bank.gov.ua/get-user-certificate/J5325Mxbs-FRrQMa61EK" TargetMode="External"/><Relationship Id="rId3105" Type="http://schemas.openxmlformats.org/officeDocument/2006/relationships/hyperlink" Target="https://talan.bank.gov.ua/get-user-certificate/J5325uOd_Qfd96NZsERJ" TargetMode="External"/><Relationship Id="rId3312" Type="http://schemas.openxmlformats.org/officeDocument/2006/relationships/hyperlink" Target="https://talan.bank.gov.ua/get-user-certificate/J53259t1IEcpEneo9plA" TargetMode="External"/><Relationship Id="rId233" Type="http://schemas.openxmlformats.org/officeDocument/2006/relationships/hyperlink" Target="https://talan.bank.gov.ua/get-user-certificate/J5325xRSptWOrv14Fr32" TargetMode="External"/><Relationship Id="rId440" Type="http://schemas.openxmlformats.org/officeDocument/2006/relationships/hyperlink" Target="https://talan.bank.gov.ua/get-user-certificate/J5325W4dUmsug839vr-g" TargetMode="External"/><Relationship Id="rId1070" Type="http://schemas.openxmlformats.org/officeDocument/2006/relationships/hyperlink" Target="https://talan.bank.gov.ua/get-user-certificate/J53259WiMno9t85h1woc" TargetMode="External"/><Relationship Id="rId2121" Type="http://schemas.openxmlformats.org/officeDocument/2006/relationships/hyperlink" Target="https://talan.bank.gov.ua/get-user-certificate/J53250dLMkfn7bt64iMB" TargetMode="External"/><Relationship Id="rId300" Type="http://schemas.openxmlformats.org/officeDocument/2006/relationships/hyperlink" Target="https://talan.bank.gov.ua/get-user-certificate/J5325dzhZ3MLTHoLctJE" TargetMode="External"/><Relationship Id="rId4086" Type="http://schemas.openxmlformats.org/officeDocument/2006/relationships/hyperlink" Target="https://talan.bank.gov.ua/get-user-certificate/J5325wybYJ_In0mnQ6w4" TargetMode="External"/><Relationship Id="rId1887" Type="http://schemas.openxmlformats.org/officeDocument/2006/relationships/hyperlink" Target="https://talan.bank.gov.ua/get-user-certificate/J5325g2Llbpqq-ATFrSv" TargetMode="External"/><Relationship Id="rId2938" Type="http://schemas.openxmlformats.org/officeDocument/2006/relationships/hyperlink" Target="https://talan.bank.gov.ua/get-user-certificate/J53256q8dHA-VcdxdBBN" TargetMode="External"/><Relationship Id="rId1747" Type="http://schemas.openxmlformats.org/officeDocument/2006/relationships/hyperlink" Target="https://talan.bank.gov.ua/get-user-certificate/J5325Xn-GeF0XcnqPbTJ" TargetMode="External"/><Relationship Id="rId1954" Type="http://schemas.openxmlformats.org/officeDocument/2006/relationships/hyperlink" Target="https://talan.bank.gov.ua/get-user-certificate/J5325viMWvN-i6GHg6Vz" TargetMode="External"/><Relationship Id="rId4153" Type="http://schemas.openxmlformats.org/officeDocument/2006/relationships/hyperlink" Target="https://talan.bank.gov.ua/get-user-certificate/J5325vZT63v629ufTEyH" TargetMode="External"/><Relationship Id="rId39" Type="http://schemas.openxmlformats.org/officeDocument/2006/relationships/hyperlink" Target="https://talan.bank.gov.ua/get-user-certificate/J5325rRlmGAertE5RAeX" TargetMode="External"/><Relationship Id="rId1607" Type="http://schemas.openxmlformats.org/officeDocument/2006/relationships/hyperlink" Target="https://talan.bank.gov.ua/get-user-certificate/J5325Vzi8DNUuz8h-Yob" TargetMode="External"/><Relationship Id="rId1814" Type="http://schemas.openxmlformats.org/officeDocument/2006/relationships/hyperlink" Target="https://talan.bank.gov.ua/get-user-certificate/J5325RHrzex3olmYDJ-x" TargetMode="External"/><Relationship Id="rId4013" Type="http://schemas.openxmlformats.org/officeDocument/2006/relationships/hyperlink" Target="https://talan.bank.gov.ua/get-user-certificate/J53252UIYqbJtK4JPU_z" TargetMode="External"/><Relationship Id="rId4220" Type="http://schemas.openxmlformats.org/officeDocument/2006/relationships/hyperlink" Target="https://talan.bank.gov.ua/get-user-certificate/CYWPHi2alYlGPxGoOZRn" TargetMode="External"/><Relationship Id="rId3779" Type="http://schemas.openxmlformats.org/officeDocument/2006/relationships/hyperlink" Target="https://talan.bank.gov.ua/get-user-certificate/J5325xgOIQUmyoIknz1O" TargetMode="External"/><Relationship Id="rId2588" Type="http://schemas.openxmlformats.org/officeDocument/2006/relationships/hyperlink" Target="https://talan.bank.gov.ua/get-user-certificate/J5325_3kpV6BfRCc6Aye" TargetMode="External"/><Relationship Id="rId3986" Type="http://schemas.openxmlformats.org/officeDocument/2006/relationships/hyperlink" Target="https://talan.bank.gov.ua/get-user-certificate/J53257d6WNcTV01e2Phc" TargetMode="External"/><Relationship Id="rId1397" Type="http://schemas.openxmlformats.org/officeDocument/2006/relationships/hyperlink" Target="https://talan.bank.gov.ua/get-user-certificate/J5325uq1CmNOt-1tAapG" TargetMode="External"/><Relationship Id="rId2795" Type="http://schemas.openxmlformats.org/officeDocument/2006/relationships/hyperlink" Target="https://talan.bank.gov.ua/get-user-certificate/J5325-f9O3vBEHhWcJph" TargetMode="External"/><Relationship Id="rId3639" Type="http://schemas.openxmlformats.org/officeDocument/2006/relationships/hyperlink" Target="https://talan.bank.gov.ua/get-user-certificate/J5325EO7yg3QgnoqGVT4" TargetMode="External"/><Relationship Id="rId3846" Type="http://schemas.openxmlformats.org/officeDocument/2006/relationships/hyperlink" Target="https://talan.bank.gov.ua/get-user-certificate/J5325q4Pgu6TpRXzxyLC" TargetMode="External"/><Relationship Id="rId767" Type="http://schemas.openxmlformats.org/officeDocument/2006/relationships/hyperlink" Target="https://talan.bank.gov.ua/get-user-certificate/J5325UurZOszYLguIgDy" TargetMode="External"/><Relationship Id="rId974" Type="http://schemas.openxmlformats.org/officeDocument/2006/relationships/hyperlink" Target="https://talan.bank.gov.ua/get-user-certificate/J53254O7YnteHFCvk9xw" TargetMode="External"/><Relationship Id="rId2448" Type="http://schemas.openxmlformats.org/officeDocument/2006/relationships/hyperlink" Target="https://talan.bank.gov.ua/get-user-certificate/J5325ypAk8_jTNDMXfpl" TargetMode="External"/><Relationship Id="rId2655" Type="http://schemas.openxmlformats.org/officeDocument/2006/relationships/hyperlink" Target="https://talan.bank.gov.ua/get-user-certificate/J5325Npop1KKwvZNNC8l" TargetMode="External"/><Relationship Id="rId2862" Type="http://schemas.openxmlformats.org/officeDocument/2006/relationships/hyperlink" Target="https://talan.bank.gov.ua/get-user-certificate/J5325zOBuB-29DzOBQvu" TargetMode="External"/><Relationship Id="rId3706" Type="http://schemas.openxmlformats.org/officeDocument/2006/relationships/hyperlink" Target="https://talan.bank.gov.ua/get-user-certificate/J5325rnXtgdOG283aObl" TargetMode="External"/><Relationship Id="rId3913" Type="http://schemas.openxmlformats.org/officeDocument/2006/relationships/hyperlink" Target="https://talan.bank.gov.ua/get-user-certificate/J53250Ep92vJ-Lul36Vn" TargetMode="External"/><Relationship Id="rId627" Type="http://schemas.openxmlformats.org/officeDocument/2006/relationships/hyperlink" Target="https://talan.bank.gov.ua/get-user-certificate/J5325BIirK4OajBEYsay" TargetMode="External"/><Relationship Id="rId834" Type="http://schemas.openxmlformats.org/officeDocument/2006/relationships/hyperlink" Target="https://talan.bank.gov.ua/get-user-certificate/J5325E3fGgxYq8NCr0cn" TargetMode="External"/><Relationship Id="rId1257" Type="http://schemas.openxmlformats.org/officeDocument/2006/relationships/hyperlink" Target="https://talan.bank.gov.ua/get-user-certificate/J5325poYla6TNEOHVuLB" TargetMode="External"/><Relationship Id="rId1464" Type="http://schemas.openxmlformats.org/officeDocument/2006/relationships/hyperlink" Target="https://talan.bank.gov.ua/get-user-certificate/J5325dBoilIYioxA43Yh" TargetMode="External"/><Relationship Id="rId1671" Type="http://schemas.openxmlformats.org/officeDocument/2006/relationships/hyperlink" Target="https://talan.bank.gov.ua/get-user-certificate/J53257C0ZS0ySwMeSbvp" TargetMode="External"/><Relationship Id="rId2308" Type="http://schemas.openxmlformats.org/officeDocument/2006/relationships/hyperlink" Target="https://talan.bank.gov.ua/get-user-certificate/J5325Tt-_y4FGfVhv4ZW" TargetMode="External"/><Relationship Id="rId2515" Type="http://schemas.openxmlformats.org/officeDocument/2006/relationships/hyperlink" Target="https://talan.bank.gov.ua/get-user-certificate/J5325SOJJv_IOJuFYzoP" TargetMode="External"/><Relationship Id="rId2722" Type="http://schemas.openxmlformats.org/officeDocument/2006/relationships/hyperlink" Target="https://talan.bank.gov.ua/get-user-certificate/J5325ZVeJn9SVLB7l8IJ" TargetMode="External"/><Relationship Id="rId901" Type="http://schemas.openxmlformats.org/officeDocument/2006/relationships/hyperlink" Target="https://talan.bank.gov.ua/get-user-certificate/J5325q2gfsGtSKUJ5cTF" TargetMode="External"/><Relationship Id="rId1117" Type="http://schemas.openxmlformats.org/officeDocument/2006/relationships/hyperlink" Target="https://talan.bank.gov.ua/get-user-certificate/J53254NmkpsdAuDmgoIS" TargetMode="External"/><Relationship Id="rId1324" Type="http://schemas.openxmlformats.org/officeDocument/2006/relationships/hyperlink" Target="https://talan.bank.gov.ua/get-user-certificate/J53253pFg23m_cBPdO1Z" TargetMode="External"/><Relationship Id="rId1531" Type="http://schemas.openxmlformats.org/officeDocument/2006/relationships/hyperlink" Target="https://talan.bank.gov.ua/get-user-certificate/J5325mfv0NH1K7WRIK7u" TargetMode="External"/><Relationship Id="rId30" Type="http://schemas.openxmlformats.org/officeDocument/2006/relationships/hyperlink" Target="https://talan.bank.gov.ua/get-user-certificate/J5325Ft2diYsjOQnO7pO" TargetMode="External"/><Relationship Id="rId3289" Type="http://schemas.openxmlformats.org/officeDocument/2006/relationships/hyperlink" Target="https://talan.bank.gov.ua/get-user-certificate/J5325sXZsRKpuiLIN5Yq" TargetMode="External"/><Relationship Id="rId3496" Type="http://schemas.openxmlformats.org/officeDocument/2006/relationships/hyperlink" Target="https://talan.bank.gov.ua/get-user-certificate/J53253WNhQPkLrj690sw" TargetMode="External"/><Relationship Id="rId2098" Type="http://schemas.openxmlformats.org/officeDocument/2006/relationships/hyperlink" Target="https://talan.bank.gov.ua/get-user-certificate/J53257t7HFN5Oly0lKus" TargetMode="External"/><Relationship Id="rId3149" Type="http://schemas.openxmlformats.org/officeDocument/2006/relationships/hyperlink" Target="https://talan.bank.gov.ua/get-user-certificate/J5325i_PYD3YaXvx5ks0" TargetMode="External"/><Relationship Id="rId3356" Type="http://schemas.openxmlformats.org/officeDocument/2006/relationships/hyperlink" Target="https://talan.bank.gov.ua/get-user-certificate/J53252AxtMcx937-Ouhd" TargetMode="External"/><Relationship Id="rId3563" Type="http://schemas.openxmlformats.org/officeDocument/2006/relationships/hyperlink" Target="https://talan.bank.gov.ua/get-user-certificate/J5325bZE7G9KBrqqCYrI" TargetMode="External"/><Relationship Id="rId277" Type="http://schemas.openxmlformats.org/officeDocument/2006/relationships/hyperlink" Target="https://talan.bank.gov.ua/get-user-certificate/J5325Nk0CUdVy_ryQQCt" TargetMode="External"/><Relationship Id="rId484" Type="http://schemas.openxmlformats.org/officeDocument/2006/relationships/hyperlink" Target="https://talan.bank.gov.ua/get-user-certificate/J5325qP3KcNi-z3ngiko" TargetMode="External"/><Relationship Id="rId2165" Type="http://schemas.openxmlformats.org/officeDocument/2006/relationships/hyperlink" Target="https://talan.bank.gov.ua/get-user-certificate/J5325wXITtGDDG_lR83o" TargetMode="External"/><Relationship Id="rId3009" Type="http://schemas.openxmlformats.org/officeDocument/2006/relationships/hyperlink" Target="https://talan.bank.gov.ua/get-user-certificate/J5325vlyHCqPMTNIf4bN" TargetMode="External"/><Relationship Id="rId3216" Type="http://schemas.openxmlformats.org/officeDocument/2006/relationships/hyperlink" Target="https://talan.bank.gov.ua/get-user-certificate/J5325sponTABawVTstN9" TargetMode="External"/><Relationship Id="rId3770" Type="http://schemas.openxmlformats.org/officeDocument/2006/relationships/hyperlink" Target="https://talan.bank.gov.ua/get-user-certificate/J5325UjCckw7XmUTNzq6" TargetMode="External"/><Relationship Id="rId137" Type="http://schemas.openxmlformats.org/officeDocument/2006/relationships/hyperlink" Target="https://talan.bank.gov.ua/get-user-certificate/J5325SKErsQBswb9jrxK" TargetMode="External"/><Relationship Id="rId344" Type="http://schemas.openxmlformats.org/officeDocument/2006/relationships/hyperlink" Target="https://talan.bank.gov.ua/get-user-certificate/J53259iS_bpWyZdVSmql" TargetMode="External"/><Relationship Id="rId691" Type="http://schemas.openxmlformats.org/officeDocument/2006/relationships/hyperlink" Target="https://talan.bank.gov.ua/get-user-certificate/J5325iHRwa7Xv1QoFItO" TargetMode="External"/><Relationship Id="rId2025" Type="http://schemas.openxmlformats.org/officeDocument/2006/relationships/hyperlink" Target="https://talan.bank.gov.ua/get-user-certificate/J5325X-2sCU8zKzrs2uF" TargetMode="External"/><Relationship Id="rId2372" Type="http://schemas.openxmlformats.org/officeDocument/2006/relationships/hyperlink" Target="https://talan.bank.gov.ua/get-user-certificate/J5325DekK6Doa91l1fLV" TargetMode="External"/><Relationship Id="rId3423" Type="http://schemas.openxmlformats.org/officeDocument/2006/relationships/hyperlink" Target="https://talan.bank.gov.ua/get-user-certificate/J5325SKwAZNIb0tK6bcM" TargetMode="External"/><Relationship Id="rId3630" Type="http://schemas.openxmlformats.org/officeDocument/2006/relationships/hyperlink" Target="https://talan.bank.gov.ua/get-user-certificate/J53251cGyH3MuyoG3dls" TargetMode="External"/><Relationship Id="rId551" Type="http://schemas.openxmlformats.org/officeDocument/2006/relationships/hyperlink" Target="https://talan.bank.gov.ua/get-user-certificate/J5325klYlCsWFfdFYj9x" TargetMode="External"/><Relationship Id="rId1181" Type="http://schemas.openxmlformats.org/officeDocument/2006/relationships/hyperlink" Target="https://talan.bank.gov.ua/get-user-certificate/J5325Fr77Hh_VmiQQL98" TargetMode="External"/><Relationship Id="rId2232" Type="http://schemas.openxmlformats.org/officeDocument/2006/relationships/hyperlink" Target="https://talan.bank.gov.ua/get-user-certificate/J5325dE8eG_FtzAV2aBv" TargetMode="External"/><Relationship Id="rId204" Type="http://schemas.openxmlformats.org/officeDocument/2006/relationships/hyperlink" Target="https://talan.bank.gov.ua/get-user-certificate/J53258F9FZ5ncYhx2DQi" TargetMode="External"/><Relationship Id="rId411" Type="http://schemas.openxmlformats.org/officeDocument/2006/relationships/hyperlink" Target="https://talan.bank.gov.ua/get-user-certificate/J5325Gg8l4sKarGBVlGG" TargetMode="External"/><Relationship Id="rId1041" Type="http://schemas.openxmlformats.org/officeDocument/2006/relationships/hyperlink" Target="https://talan.bank.gov.ua/get-user-certificate/J53258TwBdSl1QsaaH7O" TargetMode="External"/><Relationship Id="rId1998" Type="http://schemas.openxmlformats.org/officeDocument/2006/relationships/hyperlink" Target="https://talan.bank.gov.ua/get-user-certificate/J53254q9xqI8Wz3sr2Lh" TargetMode="External"/><Relationship Id="rId4197" Type="http://schemas.openxmlformats.org/officeDocument/2006/relationships/hyperlink" Target="https://talan.bank.gov.ua/get-user-certificate/TbxZW5xjSaZlz5Js3D3p" TargetMode="External"/><Relationship Id="rId1858" Type="http://schemas.openxmlformats.org/officeDocument/2006/relationships/hyperlink" Target="https://talan.bank.gov.ua/get-user-certificate/J5325I4DxE3mZAtev9Gs" TargetMode="External"/><Relationship Id="rId4057" Type="http://schemas.openxmlformats.org/officeDocument/2006/relationships/hyperlink" Target="https://talan.bank.gov.ua/get-user-certificate/J5325RCLr5RriZ5zSJxs" TargetMode="External"/><Relationship Id="rId2909" Type="http://schemas.openxmlformats.org/officeDocument/2006/relationships/hyperlink" Target="https://talan.bank.gov.ua/get-user-certificate/J5325A6mKtJVynphUHV8" TargetMode="External"/><Relationship Id="rId3073" Type="http://schemas.openxmlformats.org/officeDocument/2006/relationships/hyperlink" Target="https://talan.bank.gov.ua/get-user-certificate/J53256CGArxhH-enMWu3" TargetMode="External"/><Relationship Id="rId3280" Type="http://schemas.openxmlformats.org/officeDocument/2006/relationships/hyperlink" Target="https://talan.bank.gov.ua/get-user-certificate/J53251JP7nUBnZIoXQj8" TargetMode="External"/><Relationship Id="rId4124" Type="http://schemas.openxmlformats.org/officeDocument/2006/relationships/hyperlink" Target="https://talan.bank.gov.ua/get-user-certificate/J5325Qaz15IHFVmAmpYq" TargetMode="External"/><Relationship Id="rId1718" Type="http://schemas.openxmlformats.org/officeDocument/2006/relationships/hyperlink" Target="https://talan.bank.gov.ua/get-user-certificate/J5325Z2nI2BzDr23tF2a" TargetMode="External"/><Relationship Id="rId1925" Type="http://schemas.openxmlformats.org/officeDocument/2006/relationships/hyperlink" Target="https://talan.bank.gov.ua/get-user-certificate/J53250KuyNDFyyfKyiFt" TargetMode="External"/><Relationship Id="rId3140" Type="http://schemas.openxmlformats.org/officeDocument/2006/relationships/hyperlink" Target="https://talan.bank.gov.ua/get-user-certificate/J5325EGZgPLJQ3D1oRQa" TargetMode="External"/><Relationship Id="rId2699" Type="http://schemas.openxmlformats.org/officeDocument/2006/relationships/hyperlink" Target="https://talan.bank.gov.ua/get-user-certificate/J5325sKMyn8_PeA12rRn" TargetMode="External"/><Relationship Id="rId3000" Type="http://schemas.openxmlformats.org/officeDocument/2006/relationships/hyperlink" Target="https://talan.bank.gov.ua/get-user-certificate/J5325DUbZE0N_ZvJ0zrs" TargetMode="External"/><Relationship Id="rId3957" Type="http://schemas.openxmlformats.org/officeDocument/2006/relationships/hyperlink" Target="https://talan.bank.gov.ua/get-user-certificate/J53251OGQ7dOOOjCyHRr" TargetMode="External"/><Relationship Id="rId878" Type="http://schemas.openxmlformats.org/officeDocument/2006/relationships/hyperlink" Target="https://talan.bank.gov.ua/get-user-certificate/J5325wMM5AyMrdBJ3Gki" TargetMode="External"/><Relationship Id="rId2559" Type="http://schemas.openxmlformats.org/officeDocument/2006/relationships/hyperlink" Target="https://talan.bank.gov.ua/get-user-certificate/J5325t_ub_Q8vI-OSRb6" TargetMode="External"/><Relationship Id="rId2766" Type="http://schemas.openxmlformats.org/officeDocument/2006/relationships/hyperlink" Target="https://talan.bank.gov.ua/get-user-certificate/J532560bX0YabcB9F1dr" TargetMode="External"/><Relationship Id="rId2973" Type="http://schemas.openxmlformats.org/officeDocument/2006/relationships/hyperlink" Target="https://talan.bank.gov.ua/get-user-certificate/J5325qGwuz9LV6njcSVN" TargetMode="External"/><Relationship Id="rId3817" Type="http://schemas.openxmlformats.org/officeDocument/2006/relationships/hyperlink" Target="https://talan.bank.gov.ua/get-user-certificate/J53258K0aUol_zudyzY6" TargetMode="External"/><Relationship Id="rId738" Type="http://schemas.openxmlformats.org/officeDocument/2006/relationships/hyperlink" Target="https://talan.bank.gov.ua/get-user-certificate/J5325JfWDklZACHTQ0Bu" TargetMode="External"/><Relationship Id="rId945" Type="http://schemas.openxmlformats.org/officeDocument/2006/relationships/hyperlink" Target="https://talan.bank.gov.ua/get-user-certificate/J532500dgMYuDxnG1JVb" TargetMode="External"/><Relationship Id="rId1368" Type="http://schemas.openxmlformats.org/officeDocument/2006/relationships/hyperlink" Target="https://talan.bank.gov.ua/get-user-certificate/J5325vrzao4oosVn7EsA" TargetMode="External"/><Relationship Id="rId1575" Type="http://schemas.openxmlformats.org/officeDocument/2006/relationships/hyperlink" Target="https://talan.bank.gov.ua/get-user-certificate/J5325OyH2ZR6rFwbmzjM" TargetMode="External"/><Relationship Id="rId1782" Type="http://schemas.openxmlformats.org/officeDocument/2006/relationships/hyperlink" Target="https://talan.bank.gov.ua/get-user-certificate/J5325ScmQUDlmtNXp4C4" TargetMode="External"/><Relationship Id="rId2419" Type="http://schemas.openxmlformats.org/officeDocument/2006/relationships/hyperlink" Target="https://talan.bank.gov.ua/get-user-certificate/J53250q5aL2Q_ona-kkT" TargetMode="External"/><Relationship Id="rId2626" Type="http://schemas.openxmlformats.org/officeDocument/2006/relationships/hyperlink" Target="https://talan.bank.gov.ua/get-user-certificate/J5325TYfhQ_YsegNvjD2" TargetMode="External"/><Relationship Id="rId2833" Type="http://schemas.openxmlformats.org/officeDocument/2006/relationships/hyperlink" Target="https://talan.bank.gov.ua/get-user-certificate/J5325JGXlYjOEdtUcE6g" TargetMode="External"/><Relationship Id="rId74" Type="http://schemas.openxmlformats.org/officeDocument/2006/relationships/hyperlink" Target="https://talan.bank.gov.ua/get-user-certificate/J5325aWr1MJivezjbfEM" TargetMode="External"/><Relationship Id="rId805" Type="http://schemas.openxmlformats.org/officeDocument/2006/relationships/hyperlink" Target="https://talan.bank.gov.ua/get-user-certificate/J5325oGGQqi-quSIP01p" TargetMode="External"/><Relationship Id="rId1228" Type="http://schemas.openxmlformats.org/officeDocument/2006/relationships/hyperlink" Target="https://talan.bank.gov.ua/get-user-certificate/J5325DtKpaL53FbpjeaY" TargetMode="External"/><Relationship Id="rId1435" Type="http://schemas.openxmlformats.org/officeDocument/2006/relationships/hyperlink" Target="https://talan.bank.gov.ua/get-user-certificate/J5325Pyyzwxv2NrTm5BP" TargetMode="External"/><Relationship Id="rId1642" Type="http://schemas.openxmlformats.org/officeDocument/2006/relationships/hyperlink" Target="https://talan.bank.gov.ua/get-user-certificate/J532585yH8RRa6wje9dW" TargetMode="External"/><Relationship Id="rId2900" Type="http://schemas.openxmlformats.org/officeDocument/2006/relationships/hyperlink" Target="https://talan.bank.gov.ua/get-user-certificate/J5325iEZCu9IG8p2XCAB" TargetMode="External"/><Relationship Id="rId1502" Type="http://schemas.openxmlformats.org/officeDocument/2006/relationships/hyperlink" Target="https://talan.bank.gov.ua/get-user-certificate/J5325ePU0d-GrT2suvwX" TargetMode="External"/><Relationship Id="rId388" Type="http://schemas.openxmlformats.org/officeDocument/2006/relationships/hyperlink" Target="https://talan.bank.gov.ua/get-user-certificate/J5325CcOeZsUPzo49j9N" TargetMode="External"/><Relationship Id="rId2069" Type="http://schemas.openxmlformats.org/officeDocument/2006/relationships/hyperlink" Target="https://talan.bank.gov.ua/get-user-certificate/J5325u9N7TNuyuVA9epl" TargetMode="External"/><Relationship Id="rId3467" Type="http://schemas.openxmlformats.org/officeDocument/2006/relationships/hyperlink" Target="https://talan.bank.gov.ua/get-user-certificate/J5325B3Da2lYrakD74bt" TargetMode="External"/><Relationship Id="rId3674" Type="http://schemas.openxmlformats.org/officeDocument/2006/relationships/hyperlink" Target="https://talan.bank.gov.ua/get-user-certificate/J5325YadTSxemZpvE7YO" TargetMode="External"/><Relationship Id="rId3881" Type="http://schemas.openxmlformats.org/officeDocument/2006/relationships/hyperlink" Target="https://talan.bank.gov.ua/get-user-certificate/J5325SS7IqEUab_JhDMI" TargetMode="External"/><Relationship Id="rId595" Type="http://schemas.openxmlformats.org/officeDocument/2006/relationships/hyperlink" Target="https://talan.bank.gov.ua/get-user-certificate/J5325qQ81kcm3oyh3S0Y" TargetMode="External"/><Relationship Id="rId2276" Type="http://schemas.openxmlformats.org/officeDocument/2006/relationships/hyperlink" Target="https://talan.bank.gov.ua/get-user-certificate/J5325NbX_al1aRbsljlp" TargetMode="External"/><Relationship Id="rId2483" Type="http://schemas.openxmlformats.org/officeDocument/2006/relationships/hyperlink" Target="https://talan.bank.gov.ua/get-user-certificate/J5325RAGkOmJ219NMPzK" TargetMode="External"/><Relationship Id="rId2690" Type="http://schemas.openxmlformats.org/officeDocument/2006/relationships/hyperlink" Target="https://talan.bank.gov.ua/get-user-certificate/J5325o0YF8DmotZ-04eP" TargetMode="External"/><Relationship Id="rId3327" Type="http://schemas.openxmlformats.org/officeDocument/2006/relationships/hyperlink" Target="https://talan.bank.gov.ua/get-user-certificate/J5325-3RU-4wctjvtG1T" TargetMode="External"/><Relationship Id="rId3534" Type="http://schemas.openxmlformats.org/officeDocument/2006/relationships/hyperlink" Target="https://talan.bank.gov.ua/get-user-certificate/J5325kWtQ1wkQhE43m_2" TargetMode="External"/><Relationship Id="rId3741" Type="http://schemas.openxmlformats.org/officeDocument/2006/relationships/hyperlink" Target="https://talan.bank.gov.ua/get-user-certificate/J5325SfvmiQElXspH75-" TargetMode="External"/><Relationship Id="rId248" Type="http://schemas.openxmlformats.org/officeDocument/2006/relationships/hyperlink" Target="https://talan.bank.gov.ua/get-user-certificate/J5325JuG6gKw6ZsGaQd1" TargetMode="External"/><Relationship Id="rId455" Type="http://schemas.openxmlformats.org/officeDocument/2006/relationships/hyperlink" Target="https://talan.bank.gov.ua/get-user-certificate/J5325lFc316Q6BWBZwij" TargetMode="External"/><Relationship Id="rId662" Type="http://schemas.openxmlformats.org/officeDocument/2006/relationships/hyperlink" Target="https://talan.bank.gov.ua/get-user-certificate/J5325TBeAKZDnS3SiHmS" TargetMode="External"/><Relationship Id="rId1085" Type="http://schemas.openxmlformats.org/officeDocument/2006/relationships/hyperlink" Target="https://talan.bank.gov.ua/get-user-certificate/J5325-mUwItyxkvG1Jw8" TargetMode="External"/><Relationship Id="rId1292" Type="http://schemas.openxmlformats.org/officeDocument/2006/relationships/hyperlink" Target="https://talan.bank.gov.ua/get-user-certificate/J5325LbBiOhchY8xqVXT" TargetMode="External"/><Relationship Id="rId2136" Type="http://schemas.openxmlformats.org/officeDocument/2006/relationships/hyperlink" Target="https://talan.bank.gov.ua/get-user-certificate/J5325uM7_yfr5MGLw4Yh" TargetMode="External"/><Relationship Id="rId2343" Type="http://schemas.openxmlformats.org/officeDocument/2006/relationships/hyperlink" Target="https://talan.bank.gov.ua/get-user-certificate/J5325dND7s8gFp38uS6d" TargetMode="External"/><Relationship Id="rId2550" Type="http://schemas.openxmlformats.org/officeDocument/2006/relationships/hyperlink" Target="https://talan.bank.gov.ua/get-user-certificate/J5325Lq5Bq7iJtgJccgJ" TargetMode="External"/><Relationship Id="rId3601" Type="http://schemas.openxmlformats.org/officeDocument/2006/relationships/hyperlink" Target="https://talan.bank.gov.ua/get-user-certificate/J5325vbS4h6FFEdr2lmZ" TargetMode="External"/><Relationship Id="rId108" Type="http://schemas.openxmlformats.org/officeDocument/2006/relationships/hyperlink" Target="https://talan.bank.gov.ua/get-user-certificate/J5325PZsA_MMn3RpbVuV" TargetMode="External"/><Relationship Id="rId315" Type="http://schemas.openxmlformats.org/officeDocument/2006/relationships/hyperlink" Target="https://talan.bank.gov.ua/get-user-certificate/J53252L07PKmW7eAzrC7" TargetMode="External"/><Relationship Id="rId522" Type="http://schemas.openxmlformats.org/officeDocument/2006/relationships/hyperlink" Target="https://talan.bank.gov.ua/get-user-certificate/J5325xc--6Wy1r9x955s" TargetMode="External"/><Relationship Id="rId1152" Type="http://schemas.openxmlformats.org/officeDocument/2006/relationships/hyperlink" Target="https://talan.bank.gov.ua/get-user-certificate/J5325XajtXS_K2aPOZF2" TargetMode="External"/><Relationship Id="rId2203" Type="http://schemas.openxmlformats.org/officeDocument/2006/relationships/hyperlink" Target="https://talan.bank.gov.ua/get-user-certificate/J5325_zqZf24Ijw6Lehz" TargetMode="External"/><Relationship Id="rId2410" Type="http://schemas.openxmlformats.org/officeDocument/2006/relationships/hyperlink" Target="https://talan.bank.gov.ua/get-user-certificate/J5325aQomebP-chDEx5C" TargetMode="External"/><Relationship Id="rId1012" Type="http://schemas.openxmlformats.org/officeDocument/2006/relationships/hyperlink" Target="https://talan.bank.gov.ua/get-user-certificate/J53256vGCxk_mw0p7Ogi" TargetMode="External"/><Relationship Id="rId4168" Type="http://schemas.openxmlformats.org/officeDocument/2006/relationships/hyperlink" Target="https://talan.bank.gov.ua/get-user-certificate/J5325dT3KocX0BTA3d9R" TargetMode="External"/><Relationship Id="rId1969" Type="http://schemas.openxmlformats.org/officeDocument/2006/relationships/hyperlink" Target="https://talan.bank.gov.ua/get-user-certificate/J53258SZXyHsrcVaRxjW" TargetMode="External"/><Relationship Id="rId3184" Type="http://schemas.openxmlformats.org/officeDocument/2006/relationships/hyperlink" Target="https://talan.bank.gov.ua/get-user-certificate/J53259tMNLGVjxoXrhzk" TargetMode="External"/><Relationship Id="rId4028" Type="http://schemas.openxmlformats.org/officeDocument/2006/relationships/hyperlink" Target="https://talan.bank.gov.ua/get-user-certificate/J5325d8sUlka2nRz7_tJ" TargetMode="External"/><Relationship Id="rId4235" Type="http://schemas.openxmlformats.org/officeDocument/2006/relationships/hyperlink" Target="https://talan.bank.gov.ua/get-user-certificate/CYWPHvS6bgmRMH5BjFR4" TargetMode="External"/><Relationship Id="rId1829" Type="http://schemas.openxmlformats.org/officeDocument/2006/relationships/hyperlink" Target="https://talan.bank.gov.ua/get-user-certificate/J5325kaPLZnw6V4lnRV0" TargetMode="External"/><Relationship Id="rId3391" Type="http://schemas.openxmlformats.org/officeDocument/2006/relationships/hyperlink" Target="https://talan.bank.gov.ua/get-user-certificate/J5325zIKirJ0bMedxrsD" TargetMode="External"/><Relationship Id="rId3044" Type="http://schemas.openxmlformats.org/officeDocument/2006/relationships/hyperlink" Target="https://talan.bank.gov.ua/get-user-certificate/J5325UioeTOnJ1VYBZTx" TargetMode="External"/><Relationship Id="rId3251" Type="http://schemas.openxmlformats.org/officeDocument/2006/relationships/hyperlink" Target="https://talan.bank.gov.ua/get-user-certificate/J53259zK0Uiitr1LboRX" TargetMode="External"/><Relationship Id="rId172" Type="http://schemas.openxmlformats.org/officeDocument/2006/relationships/hyperlink" Target="https://talan.bank.gov.ua/get-user-certificate/J5325TxQqawjulmq5rDr" TargetMode="External"/><Relationship Id="rId2060" Type="http://schemas.openxmlformats.org/officeDocument/2006/relationships/hyperlink" Target="https://talan.bank.gov.ua/get-user-certificate/J5325ueGgAICD08hX6dZ" TargetMode="External"/><Relationship Id="rId3111" Type="http://schemas.openxmlformats.org/officeDocument/2006/relationships/hyperlink" Target="https://talan.bank.gov.ua/get-user-certificate/J5325fVq5RNeeaLppnoN" TargetMode="External"/><Relationship Id="rId989" Type="http://schemas.openxmlformats.org/officeDocument/2006/relationships/hyperlink" Target="https://talan.bank.gov.ua/get-user-certificate/J5325bi8ZcKdTmGblJob" TargetMode="External"/><Relationship Id="rId2877" Type="http://schemas.openxmlformats.org/officeDocument/2006/relationships/hyperlink" Target="https://talan.bank.gov.ua/get-user-certificate/J5325i1UeMTbDPRF6O4i" TargetMode="External"/><Relationship Id="rId849" Type="http://schemas.openxmlformats.org/officeDocument/2006/relationships/hyperlink" Target="https://talan.bank.gov.ua/get-user-certificate/J5325L5RffvYFdYKMBdL" TargetMode="External"/><Relationship Id="rId1479" Type="http://schemas.openxmlformats.org/officeDocument/2006/relationships/hyperlink" Target="https://talan.bank.gov.ua/get-user-certificate/J532520HH0pIcDJ-Xbgd" TargetMode="External"/><Relationship Id="rId1686" Type="http://schemas.openxmlformats.org/officeDocument/2006/relationships/hyperlink" Target="https://talan.bank.gov.ua/get-user-certificate/J5325DEDZpFtvBnl25pW" TargetMode="External"/><Relationship Id="rId3928" Type="http://schemas.openxmlformats.org/officeDocument/2006/relationships/hyperlink" Target="https://talan.bank.gov.ua/get-user-certificate/J5325Gy58QO_KVu7EEuK" TargetMode="External"/><Relationship Id="rId4092" Type="http://schemas.openxmlformats.org/officeDocument/2006/relationships/hyperlink" Target="https://talan.bank.gov.ua/get-user-certificate/J5325GsxJPaFQ3qNf_db" TargetMode="External"/><Relationship Id="rId1339" Type="http://schemas.openxmlformats.org/officeDocument/2006/relationships/hyperlink" Target="https://talan.bank.gov.ua/get-user-certificate/J5325vxRgzcgRtQ2-Y3i" TargetMode="External"/><Relationship Id="rId1893" Type="http://schemas.openxmlformats.org/officeDocument/2006/relationships/hyperlink" Target="https://talan.bank.gov.ua/get-user-certificate/J5325LnV4hfEC6_VxlSt" TargetMode="External"/><Relationship Id="rId2737" Type="http://schemas.openxmlformats.org/officeDocument/2006/relationships/hyperlink" Target="https://talan.bank.gov.ua/get-user-certificate/J5325ta56_ZfxlE3z5MD" TargetMode="External"/><Relationship Id="rId2944" Type="http://schemas.openxmlformats.org/officeDocument/2006/relationships/hyperlink" Target="https://talan.bank.gov.ua/get-user-certificate/J5325SAOnspUMLpVvKOY" TargetMode="External"/><Relationship Id="rId709" Type="http://schemas.openxmlformats.org/officeDocument/2006/relationships/hyperlink" Target="https://talan.bank.gov.ua/get-user-certificate/J5325lggAOCAwhoTKO6N" TargetMode="External"/><Relationship Id="rId916" Type="http://schemas.openxmlformats.org/officeDocument/2006/relationships/hyperlink" Target="https://talan.bank.gov.ua/get-user-certificate/J5325vtwHZov4kf2D_gU" TargetMode="External"/><Relationship Id="rId1546" Type="http://schemas.openxmlformats.org/officeDocument/2006/relationships/hyperlink" Target="https://talan.bank.gov.ua/get-user-certificate/J5325Yg1CaQhNHzkWoXy" TargetMode="External"/><Relationship Id="rId1753" Type="http://schemas.openxmlformats.org/officeDocument/2006/relationships/hyperlink" Target="https://talan.bank.gov.ua/get-user-certificate/J5325aOLEL10mJLVNK_3" TargetMode="External"/><Relationship Id="rId1960" Type="http://schemas.openxmlformats.org/officeDocument/2006/relationships/hyperlink" Target="https://talan.bank.gov.ua/get-user-certificate/J5325T7_TDE0eQUa2T11" TargetMode="External"/><Relationship Id="rId2804" Type="http://schemas.openxmlformats.org/officeDocument/2006/relationships/hyperlink" Target="https://talan.bank.gov.ua/get-user-certificate/J5325CVowOEv4bqaDYiJ" TargetMode="External"/><Relationship Id="rId45" Type="http://schemas.openxmlformats.org/officeDocument/2006/relationships/hyperlink" Target="https://talan.bank.gov.ua/get-user-certificate/J5325Y9KEqWtxWtnkBTO" TargetMode="External"/><Relationship Id="rId1406" Type="http://schemas.openxmlformats.org/officeDocument/2006/relationships/hyperlink" Target="https://talan.bank.gov.ua/get-user-certificate/J5325MELXZOqoVv9XcVZ" TargetMode="External"/><Relationship Id="rId1613" Type="http://schemas.openxmlformats.org/officeDocument/2006/relationships/hyperlink" Target="https://talan.bank.gov.ua/get-user-certificate/J5325Ulqp6fYO2M9lUHm" TargetMode="External"/><Relationship Id="rId1820" Type="http://schemas.openxmlformats.org/officeDocument/2006/relationships/hyperlink" Target="https://talan.bank.gov.ua/get-user-certificate/J5325bGbK2--b4CXT8rS" TargetMode="External"/><Relationship Id="rId3578" Type="http://schemas.openxmlformats.org/officeDocument/2006/relationships/hyperlink" Target="https://talan.bank.gov.ua/get-user-certificate/J5325NAbUhCBrTgKMInL" TargetMode="External"/><Relationship Id="rId3785" Type="http://schemas.openxmlformats.org/officeDocument/2006/relationships/hyperlink" Target="https://talan.bank.gov.ua/get-user-certificate/J5325yROSpX9-sFkjQcm" TargetMode="External"/><Relationship Id="rId3992" Type="http://schemas.openxmlformats.org/officeDocument/2006/relationships/hyperlink" Target="https://talan.bank.gov.ua/get-user-certificate/J5325_Qtho0DJ5JgNfu_" TargetMode="External"/><Relationship Id="rId499" Type="http://schemas.openxmlformats.org/officeDocument/2006/relationships/hyperlink" Target="https://talan.bank.gov.ua/get-user-certificate/J5325uuaQpUqXRK_Nfdx" TargetMode="External"/><Relationship Id="rId2387" Type="http://schemas.openxmlformats.org/officeDocument/2006/relationships/hyperlink" Target="https://talan.bank.gov.ua/get-user-certificate/J53257oBPVZVD8vKnxz4" TargetMode="External"/><Relationship Id="rId2594" Type="http://schemas.openxmlformats.org/officeDocument/2006/relationships/hyperlink" Target="https://talan.bank.gov.ua/get-user-certificate/J5325bBrwMaBAoaSG7cv" TargetMode="External"/><Relationship Id="rId3438" Type="http://schemas.openxmlformats.org/officeDocument/2006/relationships/hyperlink" Target="https://talan.bank.gov.ua/get-user-certificate/J5325lSgaGLH05SUbrbz" TargetMode="External"/><Relationship Id="rId3645" Type="http://schemas.openxmlformats.org/officeDocument/2006/relationships/hyperlink" Target="https://talan.bank.gov.ua/get-user-certificate/J5325Zh6DN_QPlaxA29u" TargetMode="External"/><Relationship Id="rId3852" Type="http://schemas.openxmlformats.org/officeDocument/2006/relationships/hyperlink" Target="https://talan.bank.gov.ua/get-user-certificate/J5325eCd7tSPvbT1F4H9" TargetMode="External"/><Relationship Id="rId359" Type="http://schemas.openxmlformats.org/officeDocument/2006/relationships/hyperlink" Target="https://talan.bank.gov.ua/get-user-certificate/J5325413Q6d-4qjr0IIs" TargetMode="External"/><Relationship Id="rId566" Type="http://schemas.openxmlformats.org/officeDocument/2006/relationships/hyperlink" Target="https://talan.bank.gov.ua/get-user-certificate/J5325wmHsd9WVdVzTqi3" TargetMode="External"/><Relationship Id="rId773" Type="http://schemas.openxmlformats.org/officeDocument/2006/relationships/hyperlink" Target="https://talan.bank.gov.ua/get-user-certificate/J5325LnYEGWESUmYRWna" TargetMode="External"/><Relationship Id="rId1196" Type="http://schemas.openxmlformats.org/officeDocument/2006/relationships/hyperlink" Target="https://talan.bank.gov.ua/get-user-certificate/J5325fBAV7YODgQLXa4H" TargetMode="External"/><Relationship Id="rId2247" Type="http://schemas.openxmlformats.org/officeDocument/2006/relationships/hyperlink" Target="https://talan.bank.gov.ua/get-user-certificate/J5325fDMhw_H8DUUVHXg" TargetMode="External"/><Relationship Id="rId2454" Type="http://schemas.openxmlformats.org/officeDocument/2006/relationships/hyperlink" Target="https://talan.bank.gov.ua/get-user-certificate/J5325dXZ3K0jMw7qjCAA" TargetMode="External"/><Relationship Id="rId3505" Type="http://schemas.openxmlformats.org/officeDocument/2006/relationships/hyperlink" Target="https://talan.bank.gov.ua/get-user-certificate/J5325UDK-eqVimYkZjVQ" TargetMode="External"/><Relationship Id="rId219" Type="http://schemas.openxmlformats.org/officeDocument/2006/relationships/hyperlink" Target="https://talan.bank.gov.ua/get-user-certificate/J5325hW3t0cXiu7qrq-C" TargetMode="External"/><Relationship Id="rId426" Type="http://schemas.openxmlformats.org/officeDocument/2006/relationships/hyperlink" Target="https://talan.bank.gov.ua/get-user-certificate/J5325cUoAI1FErFeB9Z3" TargetMode="External"/><Relationship Id="rId633" Type="http://schemas.openxmlformats.org/officeDocument/2006/relationships/hyperlink" Target="https://talan.bank.gov.ua/get-user-certificate/J5325_WI1rrnor0mvbG-" TargetMode="External"/><Relationship Id="rId980" Type="http://schemas.openxmlformats.org/officeDocument/2006/relationships/hyperlink" Target="https://talan.bank.gov.ua/get-user-certificate/J53250SLeaTHczNJcwqj" TargetMode="External"/><Relationship Id="rId1056" Type="http://schemas.openxmlformats.org/officeDocument/2006/relationships/hyperlink" Target="https://talan.bank.gov.ua/get-user-certificate/J5325rw-ifYeKe1uR3m4" TargetMode="External"/><Relationship Id="rId1263" Type="http://schemas.openxmlformats.org/officeDocument/2006/relationships/hyperlink" Target="https://talan.bank.gov.ua/get-user-certificate/J5325Py5gbzEjoFhLjuj" TargetMode="External"/><Relationship Id="rId2107" Type="http://schemas.openxmlformats.org/officeDocument/2006/relationships/hyperlink" Target="https://talan.bank.gov.ua/get-user-certificate/J5325aQej8fVI7uwX3HI" TargetMode="External"/><Relationship Id="rId2314" Type="http://schemas.openxmlformats.org/officeDocument/2006/relationships/hyperlink" Target="https://talan.bank.gov.ua/get-user-certificate/J5325T09U4gqo9gZmOAR" TargetMode="External"/><Relationship Id="rId2661" Type="http://schemas.openxmlformats.org/officeDocument/2006/relationships/hyperlink" Target="https://talan.bank.gov.ua/get-user-certificate/J53253G9eWmaoW4-vncF" TargetMode="External"/><Relationship Id="rId3712" Type="http://schemas.openxmlformats.org/officeDocument/2006/relationships/hyperlink" Target="https://talan.bank.gov.ua/get-user-certificate/J5325sIYhbm7j3yFdim0" TargetMode="External"/><Relationship Id="rId840" Type="http://schemas.openxmlformats.org/officeDocument/2006/relationships/hyperlink" Target="https://talan.bank.gov.ua/get-user-certificate/J5325JMuOxNwG46TNvRg" TargetMode="External"/><Relationship Id="rId1470" Type="http://schemas.openxmlformats.org/officeDocument/2006/relationships/hyperlink" Target="https://talan.bank.gov.ua/get-user-certificate/J5325JKM19ksBYYrxce_" TargetMode="External"/><Relationship Id="rId2521" Type="http://schemas.openxmlformats.org/officeDocument/2006/relationships/hyperlink" Target="https://talan.bank.gov.ua/get-user-certificate/J5325U4G6jKpxdaQabXr" TargetMode="External"/><Relationship Id="rId700" Type="http://schemas.openxmlformats.org/officeDocument/2006/relationships/hyperlink" Target="https://talan.bank.gov.ua/get-user-certificate/J5325k02umDKW6g9JF8M" TargetMode="External"/><Relationship Id="rId1123" Type="http://schemas.openxmlformats.org/officeDocument/2006/relationships/hyperlink" Target="https://talan.bank.gov.ua/get-user-certificate/J53259VzTPfNLvLbHsam" TargetMode="External"/><Relationship Id="rId1330" Type="http://schemas.openxmlformats.org/officeDocument/2006/relationships/hyperlink" Target="https://talan.bank.gov.ua/get-user-certificate/J5325tfJxefxZ2qfE2fi" TargetMode="External"/><Relationship Id="rId3088" Type="http://schemas.openxmlformats.org/officeDocument/2006/relationships/hyperlink" Target="https://talan.bank.gov.ua/get-user-certificate/J53254-3xf6961UcCkD3" TargetMode="External"/><Relationship Id="rId3295" Type="http://schemas.openxmlformats.org/officeDocument/2006/relationships/hyperlink" Target="https://talan.bank.gov.ua/get-user-certificate/J5325cDwkz5yxxzJUxEd" TargetMode="External"/><Relationship Id="rId4139" Type="http://schemas.openxmlformats.org/officeDocument/2006/relationships/hyperlink" Target="https://talan.bank.gov.ua/get-user-certificate/J5325tD-NfJCbuMkhe2r" TargetMode="External"/><Relationship Id="rId3155" Type="http://schemas.openxmlformats.org/officeDocument/2006/relationships/hyperlink" Target="https://talan.bank.gov.ua/get-user-certificate/J53255Lt9CEg2dOf7OkQ" TargetMode="External"/><Relationship Id="rId3362" Type="http://schemas.openxmlformats.org/officeDocument/2006/relationships/hyperlink" Target="https://talan.bank.gov.ua/get-user-certificate/J5325LnUGP8l86L6KuGb" TargetMode="External"/><Relationship Id="rId4206" Type="http://schemas.openxmlformats.org/officeDocument/2006/relationships/hyperlink" Target="https://talan.bank.gov.ua/get-user-certificate/lHoZPeRGV7LtlY4vehCD" TargetMode="External"/><Relationship Id="rId283" Type="http://schemas.openxmlformats.org/officeDocument/2006/relationships/hyperlink" Target="https://talan.bank.gov.ua/get-user-certificate/J5325o7GPVpKkDovDx4f" TargetMode="External"/><Relationship Id="rId490" Type="http://schemas.openxmlformats.org/officeDocument/2006/relationships/hyperlink" Target="https://talan.bank.gov.ua/get-user-certificate/J5325CZBc8N5GLr9-i1t" TargetMode="External"/><Relationship Id="rId2171" Type="http://schemas.openxmlformats.org/officeDocument/2006/relationships/hyperlink" Target="https://talan.bank.gov.ua/get-user-certificate/J5325WZsXgrXtVrXhuip" TargetMode="External"/><Relationship Id="rId3015" Type="http://schemas.openxmlformats.org/officeDocument/2006/relationships/hyperlink" Target="https://talan.bank.gov.ua/get-user-certificate/J5325Nk18W7CZrX7117K" TargetMode="External"/><Relationship Id="rId3222" Type="http://schemas.openxmlformats.org/officeDocument/2006/relationships/hyperlink" Target="https://talan.bank.gov.ua/get-user-certificate/J5325x_vILcOSmCvOdrT" TargetMode="External"/><Relationship Id="rId143" Type="http://schemas.openxmlformats.org/officeDocument/2006/relationships/hyperlink" Target="https://talan.bank.gov.ua/get-user-certificate/J5325WY3trTacvRm_9Fu" TargetMode="External"/><Relationship Id="rId350" Type="http://schemas.openxmlformats.org/officeDocument/2006/relationships/hyperlink" Target="https://talan.bank.gov.ua/get-user-certificate/J5325O7hN51ZNcDtW_Y_" TargetMode="External"/><Relationship Id="rId2031" Type="http://schemas.openxmlformats.org/officeDocument/2006/relationships/hyperlink" Target="https://talan.bank.gov.ua/get-user-certificate/J5325A8EKlI7B9K1ruYb" TargetMode="External"/><Relationship Id="rId9" Type="http://schemas.openxmlformats.org/officeDocument/2006/relationships/hyperlink" Target="https://talan.bank.gov.ua/get-user-certificate/J5325kKWC3Ftt-SCY_ot" TargetMode="External"/><Relationship Id="rId210" Type="http://schemas.openxmlformats.org/officeDocument/2006/relationships/hyperlink" Target="https://talan.bank.gov.ua/get-user-certificate/J5325i2aR8hD8scfY8sl" TargetMode="External"/><Relationship Id="rId2988" Type="http://schemas.openxmlformats.org/officeDocument/2006/relationships/hyperlink" Target="https://talan.bank.gov.ua/get-user-certificate/J5325x5GRHKqp7W65Drs" TargetMode="External"/><Relationship Id="rId1797" Type="http://schemas.openxmlformats.org/officeDocument/2006/relationships/hyperlink" Target="https://talan.bank.gov.ua/get-user-certificate/J5325EDnOP3HKa8r37kG" TargetMode="External"/><Relationship Id="rId2848" Type="http://schemas.openxmlformats.org/officeDocument/2006/relationships/hyperlink" Target="https://talan.bank.gov.ua/get-user-certificate/J5325EOJN1tF8_L5FfkF" TargetMode="External"/><Relationship Id="rId89" Type="http://schemas.openxmlformats.org/officeDocument/2006/relationships/hyperlink" Target="https://talan.bank.gov.ua/get-user-certificate/J5325n5fsuFjCI1QTMME" TargetMode="External"/><Relationship Id="rId1657" Type="http://schemas.openxmlformats.org/officeDocument/2006/relationships/hyperlink" Target="https://talan.bank.gov.ua/get-user-certificate/J5325uQ0dSu299twNWpN" TargetMode="External"/><Relationship Id="rId1864" Type="http://schemas.openxmlformats.org/officeDocument/2006/relationships/hyperlink" Target="https://talan.bank.gov.ua/get-user-certificate/J5325fiGKCXd04qhzPNJ" TargetMode="External"/><Relationship Id="rId2708" Type="http://schemas.openxmlformats.org/officeDocument/2006/relationships/hyperlink" Target="https://talan.bank.gov.ua/get-user-certificate/J5325utjExwzwzFb7lNr" TargetMode="External"/><Relationship Id="rId2915" Type="http://schemas.openxmlformats.org/officeDocument/2006/relationships/hyperlink" Target="https://talan.bank.gov.ua/get-user-certificate/J5325-qU5SuwgIth-HjY" TargetMode="External"/><Relationship Id="rId4063" Type="http://schemas.openxmlformats.org/officeDocument/2006/relationships/hyperlink" Target="https://talan.bank.gov.ua/get-user-certificate/J53250DluPuW5mzn4ztE" TargetMode="External"/><Relationship Id="rId1517" Type="http://schemas.openxmlformats.org/officeDocument/2006/relationships/hyperlink" Target="https://talan.bank.gov.ua/get-user-certificate/J5325icM1asHMESkkxBz" TargetMode="External"/><Relationship Id="rId1724" Type="http://schemas.openxmlformats.org/officeDocument/2006/relationships/hyperlink" Target="https://talan.bank.gov.ua/get-user-certificate/J5325BnDXWlCct3w8VNv" TargetMode="External"/><Relationship Id="rId4130" Type="http://schemas.openxmlformats.org/officeDocument/2006/relationships/hyperlink" Target="https://talan.bank.gov.ua/get-user-certificate/J5325Taz2cCmVE5n_GTi" TargetMode="External"/><Relationship Id="rId16" Type="http://schemas.openxmlformats.org/officeDocument/2006/relationships/hyperlink" Target="https://talan.bank.gov.ua/get-user-certificate/J5325kx6rcWsNlg13wLd" TargetMode="External"/><Relationship Id="rId1931" Type="http://schemas.openxmlformats.org/officeDocument/2006/relationships/hyperlink" Target="https://talan.bank.gov.ua/get-user-certificate/J53250qH1NaBYTV534FC" TargetMode="External"/><Relationship Id="rId3689" Type="http://schemas.openxmlformats.org/officeDocument/2006/relationships/hyperlink" Target="https://talan.bank.gov.ua/get-user-certificate/J5325lwU9ewrfe2YUo1B" TargetMode="External"/><Relationship Id="rId3896" Type="http://schemas.openxmlformats.org/officeDocument/2006/relationships/hyperlink" Target="https://talan.bank.gov.ua/get-user-certificate/J5325xgCTppcQTQ0JTuf" TargetMode="External"/><Relationship Id="rId2498" Type="http://schemas.openxmlformats.org/officeDocument/2006/relationships/hyperlink" Target="https://talan.bank.gov.ua/get-user-certificate/J5325mAZhb2w9jTTnhc1" TargetMode="External"/><Relationship Id="rId3549" Type="http://schemas.openxmlformats.org/officeDocument/2006/relationships/hyperlink" Target="https://talan.bank.gov.ua/get-user-certificate/J5325HeLHG073jz4MUKw" TargetMode="External"/><Relationship Id="rId677" Type="http://schemas.openxmlformats.org/officeDocument/2006/relationships/hyperlink" Target="https://talan.bank.gov.ua/get-user-certificate/J53253TidKMecpvOoOwc" TargetMode="External"/><Relationship Id="rId2358" Type="http://schemas.openxmlformats.org/officeDocument/2006/relationships/hyperlink" Target="https://talan.bank.gov.ua/get-user-certificate/J5325vyne71CexqoEkPm" TargetMode="External"/><Relationship Id="rId3756" Type="http://schemas.openxmlformats.org/officeDocument/2006/relationships/hyperlink" Target="https://talan.bank.gov.ua/get-user-certificate/J5325xs3DsruryKSEU3x" TargetMode="External"/><Relationship Id="rId3963" Type="http://schemas.openxmlformats.org/officeDocument/2006/relationships/hyperlink" Target="https://talan.bank.gov.ua/get-user-certificate/J5325UfTXM_UrOfVNdZP" TargetMode="External"/><Relationship Id="rId884" Type="http://schemas.openxmlformats.org/officeDocument/2006/relationships/hyperlink" Target="https://talan.bank.gov.ua/get-user-certificate/J5325ahodvIx4YEQo54v" TargetMode="External"/><Relationship Id="rId2565" Type="http://schemas.openxmlformats.org/officeDocument/2006/relationships/hyperlink" Target="https://talan.bank.gov.ua/get-user-certificate/J53258LKnV-pqkEtr9LY" TargetMode="External"/><Relationship Id="rId2772" Type="http://schemas.openxmlformats.org/officeDocument/2006/relationships/hyperlink" Target="https://talan.bank.gov.ua/get-user-certificate/J5325G29HMaM-OmjTp8N" TargetMode="External"/><Relationship Id="rId3409" Type="http://schemas.openxmlformats.org/officeDocument/2006/relationships/hyperlink" Target="https://talan.bank.gov.ua/get-user-certificate/J5325V-R03oDV-BBV_Rd" TargetMode="External"/><Relationship Id="rId3616" Type="http://schemas.openxmlformats.org/officeDocument/2006/relationships/hyperlink" Target="https://talan.bank.gov.ua/get-user-certificate/J5325Xgwn6UKpc21uBOI" TargetMode="External"/><Relationship Id="rId3823" Type="http://schemas.openxmlformats.org/officeDocument/2006/relationships/hyperlink" Target="https://talan.bank.gov.ua/get-user-certificate/J5325YcLL9v8eHpPxYpw" TargetMode="External"/><Relationship Id="rId537" Type="http://schemas.openxmlformats.org/officeDocument/2006/relationships/hyperlink" Target="https://talan.bank.gov.ua/get-user-certificate/J5325KEDE4ia57ZFpdHP" TargetMode="External"/><Relationship Id="rId744" Type="http://schemas.openxmlformats.org/officeDocument/2006/relationships/hyperlink" Target="https://talan.bank.gov.ua/get-user-certificate/J53259haCC8_3bUQbDOO" TargetMode="External"/><Relationship Id="rId951" Type="http://schemas.openxmlformats.org/officeDocument/2006/relationships/hyperlink" Target="https://talan.bank.gov.ua/get-user-certificate/J5325ybIz8WCuIPNyRTH" TargetMode="External"/><Relationship Id="rId1167" Type="http://schemas.openxmlformats.org/officeDocument/2006/relationships/hyperlink" Target="https://talan.bank.gov.ua/get-user-certificate/J5325jszZdDtjQ07wnOV" TargetMode="External"/><Relationship Id="rId1374" Type="http://schemas.openxmlformats.org/officeDocument/2006/relationships/hyperlink" Target="https://talan.bank.gov.ua/get-user-certificate/J5325HxG-NhevcH6X4a7" TargetMode="External"/><Relationship Id="rId1581" Type="http://schemas.openxmlformats.org/officeDocument/2006/relationships/hyperlink" Target="https://talan.bank.gov.ua/get-user-certificate/J5325syydeqYJsinHplt" TargetMode="External"/><Relationship Id="rId2218" Type="http://schemas.openxmlformats.org/officeDocument/2006/relationships/hyperlink" Target="https://talan.bank.gov.ua/get-user-certificate/J5325wE5yQw2N0p9925n" TargetMode="External"/><Relationship Id="rId2425" Type="http://schemas.openxmlformats.org/officeDocument/2006/relationships/hyperlink" Target="https://talan.bank.gov.ua/get-user-certificate/J5325qkFA7bom0RQqo_-" TargetMode="External"/><Relationship Id="rId2632" Type="http://schemas.openxmlformats.org/officeDocument/2006/relationships/hyperlink" Target="https://talan.bank.gov.ua/get-user-certificate/J5325tMYP3yOnsGGfq2B" TargetMode="External"/><Relationship Id="rId80" Type="http://schemas.openxmlformats.org/officeDocument/2006/relationships/hyperlink" Target="https://talan.bank.gov.ua/get-user-certificate/J5325Gx7zXmbITuLDb8M" TargetMode="External"/><Relationship Id="rId604" Type="http://schemas.openxmlformats.org/officeDocument/2006/relationships/hyperlink" Target="https://talan.bank.gov.ua/get-user-certificate/J53258TWBBE-AJ9Hj91O" TargetMode="External"/><Relationship Id="rId811" Type="http://schemas.openxmlformats.org/officeDocument/2006/relationships/hyperlink" Target="https://talan.bank.gov.ua/get-user-certificate/J532571hoWHRYQxRDtUq" TargetMode="External"/><Relationship Id="rId1027" Type="http://schemas.openxmlformats.org/officeDocument/2006/relationships/hyperlink" Target="https://talan.bank.gov.ua/get-user-certificate/J5325IHP3XpFs6sRRlkZ" TargetMode="External"/><Relationship Id="rId1234" Type="http://schemas.openxmlformats.org/officeDocument/2006/relationships/hyperlink" Target="https://talan.bank.gov.ua/get-user-certificate/J5325e6hyA4gOX-94wqW" TargetMode="External"/><Relationship Id="rId1441" Type="http://schemas.openxmlformats.org/officeDocument/2006/relationships/hyperlink" Target="https://talan.bank.gov.ua/get-user-certificate/J5325yQnZUrD77qJu5mL" TargetMode="External"/><Relationship Id="rId1301" Type="http://schemas.openxmlformats.org/officeDocument/2006/relationships/hyperlink" Target="https://talan.bank.gov.ua/get-user-certificate/J5325aZe0w4k_YejVFJA" TargetMode="External"/><Relationship Id="rId3199" Type="http://schemas.openxmlformats.org/officeDocument/2006/relationships/hyperlink" Target="https://talan.bank.gov.ua/get-user-certificate/J5325dhhp9KeK8mZRILW" TargetMode="External"/><Relationship Id="rId3059" Type="http://schemas.openxmlformats.org/officeDocument/2006/relationships/hyperlink" Target="https://talan.bank.gov.ua/get-user-certificate/J5325tHhvaHH3a70Tu8S" TargetMode="External"/><Relationship Id="rId3266" Type="http://schemas.openxmlformats.org/officeDocument/2006/relationships/hyperlink" Target="https://talan.bank.gov.ua/get-user-certificate/J5325cn68E9ejrPPPFt3" TargetMode="External"/><Relationship Id="rId3473" Type="http://schemas.openxmlformats.org/officeDocument/2006/relationships/hyperlink" Target="https://talan.bank.gov.ua/get-user-certificate/J5325IqveEIWaatd3sTe" TargetMode="External"/><Relationship Id="rId187" Type="http://schemas.openxmlformats.org/officeDocument/2006/relationships/hyperlink" Target="https://talan.bank.gov.ua/get-user-certificate/J5325c9jJOels8KmHF9l" TargetMode="External"/><Relationship Id="rId394" Type="http://schemas.openxmlformats.org/officeDocument/2006/relationships/hyperlink" Target="https://talan.bank.gov.ua/get-user-certificate/J5325mueQMA4ZQViFHXU" TargetMode="External"/><Relationship Id="rId2075" Type="http://schemas.openxmlformats.org/officeDocument/2006/relationships/hyperlink" Target="https://talan.bank.gov.ua/get-user-certificate/J5325KLI5h2MrW4RkjAY" TargetMode="External"/><Relationship Id="rId2282" Type="http://schemas.openxmlformats.org/officeDocument/2006/relationships/hyperlink" Target="https://talan.bank.gov.ua/get-user-certificate/J5325moYIrmwXDE7xlAj" TargetMode="External"/><Relationship Id="rId3126" Type="http://schemas.openxmlformats.org/officeDocument/2006/relationships/hyperlink" Target="https://talan.bank.gov.ua/get-user-certificate/J5325tcHyCZR2-PtIyZJ" TargetMode="External"/><Relationship Id="rId3680" Type="http://schemas.openxmlformats.org/officeDocument/2006/relationships/hyperlink" Target="https://talan.bank.gov.ua/get-user-certificate/J53254n8drdIv_v5M9vx" TargetMode="External"/><Relationship Id="rId254" Type="http://schemas.openxmlformats.org/officeDocument/2006/relationships/hyperlink" Target="https://talan.bank.gov.ua/get-user-certificate/J5325pigVRIncSp9JCO9" TargetMode="External"/><Relationship Id="rId1091" Type="http://schemas.openxmlformats.org/officeDocument/2006/relationships/hyperlink" Target="https://talan.bank.gov.ua/get-user-certificate/J532580_xgRxQG76_TuA" TargetMode="External"/><Relationship Id="rId3333" Type="http://schemas.openxmlformats.org/officeDocument/2006/relationships/hyperlink" Target="https://talan.bank.gov.ua/get-user-certificate/J5325jAV-olisLDCwK4z" TargetMode="External"/><Relationship Id="rId3540" Type="http://schemas.openxmlformats.org/officeDocument/2006/relationships/hyperlink" Target="https://talan.bank.gov.ua/get-user-certificate/J5325AbQ6mkXEhnrkbgn" TargetMode="External"/><Relationship Id="rId114" Type="http://schemas.openxmlformats.org/officeDocument/2006/relationships/hyperlink" Target="https://talan.bank.gov.ua/get-user-certificate/J53254G6M4O0XPyLBi1h" TargetMode="External"/><Relationship Id="rId461" Type="http://schemas.openxmlformats.org/officeDocument/2006/relationships/hyperlink" Target="https://talan.bank.gov.ua/get-user-certificate/J5325Rtn5lxiIQkZWl92" TargetMode="External"/><Relationship Id="rId2142" Type="http://schemas.openxmlformats.org/officeDocument/2006/relationships/hyperlink" Target="https://talan.bank.gov.ua/get-user-certificate/J5325wsX-eaems2fh8QE" TargetMode="External"/><Relationship Id="rId3400" Type="http://schemas.openxmlformats.org/officeDocument/2006/relationships/hyperlink" Target="https://talan.bank.gov.ua/get-user-certificate/J5325WoRTabzuAn9-QU4" TargetMode="External"/><Relationship Id="rId321" Type="http://schemas.openxmlformats.org/officeDocument/2006/relationships/hyperlink" Target="https://talan.bank.gov.ua/get-user-certificate/J5325k9BlqT1SelzzNHN" TargetMode="External"/><Relationship Id="rId2002" Type="http://schemas.openxmlformats.org/officeDocument/2006/relationships/hyperlink" Target="https://talan.bank.gov.ua/get-user-certificate/J5325oPm0N_SjRebD0ii" TargetMode="External"/><Relationship Id="rId2959" Type="http://schemas.openxmlformats.org/officeDocument/2006/relationships/hyperlink" Target="https://talan.bank.gov.ua/get-user-certificate/J5325sOFNYouVnk9eTHL" TargetMode="External"/><Relationship Id="rId1768" Type="http://schemas.openxmlformats.org/officeDocument/2006/relationships/hyperlink" Target="https://talan.bank.gov.ua/get-user-certificate/J53258-NvNMU8PTZjbHN" TargetMode="External"/><Relationship Id="rId2819" Type="http://schemas.openxmlformats.org/officeDocument/2006/relationships/hyperlink" Target="https://talan.bank.gov.ua/get-user-certificate/J5325uQ6ij12GwrE3W4x" TargetMode="External"/><Relationship Id="rId4174" Type="http://schemas.openxmlformats.org/officeDocument/2006/relationships/hyperlink" Target="https://talan.bank.gov.ua/get-user-certificate/TbxZW84pPHmzUUJhw0TB" TargetMode="External"/><Relationship Id="rId1628" Type="http://schemas.openxmlformats.org/officeDocument/2006/relationships/hyperlink" Target="https://talan.bank.gov.ua/get-user-certificate/J5325cPKPZdOnT4-VbGQ" TargetMode="External"/><Relationship Id="rId1975" Type="http://schemas.openxmlformats.org/officeDocument/2006/relationships/hyperlink" Target="https://talan.bank.gov.ua/get-user-certificate/J5325mytJPu4GzNU-zIL" TargetMode="External"/><Relationship Id="rId3190" Type="http://schemas.openxmlformats.org/officeDocument/2006/relationships/hyperlink" Target="https://talan.bank.gov.ua/get-user-certificate/J5325cupUtYii63-LKoB" TargetMode="External"/><Relationship Id="rId4034" Type="http://schemas.openxmlformats.org/officeDocument/2006/relationships/hyperlink" Target="https://talan.bank.gov.ua/get-user-certificate/J5325zYlUt1v70tughx_" TargetMode="External"/><Relationship Id="rId4241" Type="http://schemas.openxmlformats.org/officeDocument/2006/relationships/hyperlink" Target="https://talan.bank.gov.ua/get-user-certificate/CYWPHQYTVtqNtCQYrCwz" TargetMode="External"/><Relationship Id="rId1835" Type="http://schemas.openxmlformats.org/officeDocument/2006/relationships/hyperlink" Target="https://talan.bank.gov.ua/get-user-certificate/J5325DQMXZQGuY8TcM6G" TargetMode="External"/><Relationship Id="rId3050" Type="http://schemas.openxmlformats.org/officeDocument/2006/relationships/hyperlink" Target="https://talan.bank.gov.ua/get-user-certificate/J5325TZZ919eM6ltZzzq" TargetMode="External"/><Relationship Id="rId4101" Type="http://schemas.openxmlformats.org/officeDocument/2006/relationships/hyperlink" Target="https://talan.bank.gov.ua/get-user-certificate/J5325cjg_1C-6bPgIdbo" TargetMode="External"/><Relationship Id="rId1902" Type="http://schemas.openxmlformats.org/officeDocument/2006/relationships/hyperlink" Target="https://talan.bank.gov.ua/get-user-certificate/J5325Ou07rz6xOpDmTNV" TargetMode="External"/><Relationship Id="rId3867" Type="http://schemas.openxmlformats.org/officeDocument/2006/relationships/hyperlink" Target="https://talan.bank.gov.ua/get-user-certificate/J5325AGjMpy2el7ZRSjK" TargetMode="External"/><Relationship Id="rId788" Type="http://schemas.openxmlformats.org/officeDocument/2006/relationships/hyperlink" Target="https://talan.bank.gov.ua/get-user-certificate/J5325TnVxA8eMfiFZBS2" TargetMode="External"/><Relationship Id="rId995" Type="http://schemas.openxmlformats.org/officeDocument/2006/relationships/hyperlink" Target="https://talan.bank.gov.ua/get-user-certificate/J5325vWoxs5gLAiGC9cY" TargetMode="External"/><Relationship Id="rId2469" Type="http://schemas.openxmlformats.org/officeDocument/2006/relationships/hyperlink" Target="https://talan.bank.gov.ua/get-user-certificate/J5325i2_wIj5fuM0KN6p" TargetMode="External"/><Relationship Id="rId2676" Type="http://schemas.openxmlformats.org/officeDocument/2006/relationships/hyperlink" Target="https://talan.bank.gov.ua/get-user-certificate/J5325e2MtRMtki2cfCzE" TargetMode="External"/><Relationship Id="rId2883" Type="http://schemas.openxmlformats.org/officeDocument/2006/relationships/hyperlink" Target="https://talan.bank.gov.ua/get-user-certificate/J532590bSX09tb0Mjvzp" TargetMode="External"/><Relationship Id="rId3727" Type="http://schemas.openxmlformats.org/officeDocument/2006/relationships/hyperlink" Target="https://talan.bank.gov.ua/get-user-certificate/J53256nIWVPeuw7hOexX" TargetMode="External"/><Relationship Id="rId3934" Type="http://schemas.openxmlformats.org/officeDocument/2006/relationships/hyperlink" Target="https://talan.bank.gov.ua/get-user-certificate/J5325PB3H2L459wWK8tv" TargetMode="External"/><Relationship Id="rId648" Type="http://schemas.openxmlformats.org/officeDocument/2006/relationships/hyperlink" Target="https://talan.bank.gov.ua/get-user-certificate/J5325C3-c7xJh2DQdIFf" TargetMode="External"/><Relationship Id="rId855" Type="http://schemas.openxmlformats.org/officeDocument/2006/relationships/hyperlink" Target="https://talan.bank.gov.ua/get-user-certificate/J5325_PR32qCdK4zJBd8" TargetMode="External"/><Relationship Id="rId1278" Type="http://schemas.openxmlformats.org/officeDocument/2006/relationships/hyperlink" Target="https://talan.bank.gov.ua/get-user-certificate/J5325_aX3uwWiKriXmac" TargetMode="External"/><Relationship Id="rId1485" Type="http://schemas.openxmlformats.org/officeDocument/2006/relationships/hyperlink" Target="https://talan.bank.gov.ua/get-user-certificate/J5325xUTuZMIc5ldZk4a" TargetMode="External"/><Relationship Id="rId1692" Type="http://schemas.openxmlformats.org/officeDocument/2006/relationships/hyperlink" Target="https://talan.bank.gov.ua/get-user-certificate/J5325Xy30C6GGAJHemgV" TargetMode="External"/><Relationship Id="rId2329" Type="http://schemas.openxmlformats.org/officeDocument/2006/relationships/hyperlink" Target="https://talan.bank.gov.ua/get-user-certificate/J5325FX_7hMjiSy9nl2k" TargetMode="External"/><Relationship Id="rId2536" Type="http://schemas.openxmlformats.org/officeDocument/2006/relationships/hyperlink" Target="https://talan.bank.gov.ua/get-user-certificate/J53255LEj016M75_KUZ5" TargetMode="External"/><Relationship Id="rId2743" Type="http://schemas.openxmlformats.org/officeDocument/2006/relationships/hyperlink" Target="https://talan.bank.gov.ua/get-user-certificate/J53257OfGC_GK_rfji-U" TargetMode="External"/><Relationship Id="rId508" Type="http://schemas.openxmlformats.org/officeDocument/2006/relationships/hyperlink" Target="https://talan.bank.gov.ua/get-user-certificate/J5325La5ItcbM7_m7ZyR" TargetMode="External"/><Relationship Id="rId715" Type="http://schemas.openxmlformats.org/officeDocument/2006/relationships/hyperlink" Target="https://talan.bank.gov.ua/get-user-certificate/J5325rcgvM0hixXDDCFZ" TargetMode="External"/><Relationship Id="rId922" Type="http://schemas.openxmlformats.org/officeDocument/2006/relationships/hyperlink" Target="https://talan.bank.gov.ua/get-user-certificate/J5325hFG2WwvwPR9GWF0" TargetMode="External"/><Relationship Id="rId1138" Type="http://schemas.openxmlformats.org/officeDocument/2006/relationships/hyperlink" Target="https://talan.bank.gov.ua/get-user-certificate/J5325E1ztbOP4tobVsEv" TargetMode="External"/><Relationship Id="rId1345" Type="http://schemas.openxmlformats.org/officeDocument/2006/relationships/hyperlink" Target="https://talan.bank.gov.ua/get-user-certificate/J5325_1JC88JUw9LNk7T" TargetMode="External"/><Relationship Id="rId1552" Type="http://schemas.openxmlformats.org/officeDocument/2006/relationships/hyperlink" Target="https://talan.bank.gov.ua/get-user-certificate/J5325q3Wu_G6aSphQ0xv" TargetMode="External"/><Relationship Id="rId2603" Type="http://schemas.openxmlformats.org/officeDocument/2006/relationships/hyperlink" Target="https://talan.bank.gov.ua/get-user-certificate/J5325xghgl5kH7GINraV" TargetMode="External"/><Relationship Id="rId2950" Type="http://schemas.openxmlformats.org/officeDocument/2006/relationships/hyperlink" Target="https://talan.bank.gov.ua/get-user-certificate/J5325hPDyN8WqQIhoFNL" TargetMode="External"/><Relationship Id="rId1205" Type="http://schemas.openxmlformats.org/officeDocument/2006/relationships/hyperlink" Target="https://talan.bank.gov.ua/get-user-certificate/J5325SyDHyxLhzEDHYf1" TargetMode="External"/><Relationship Id="rId2810" Type="http://schemas.openxmlformats.org/officeDocument/2006/relationships/hyperlink" Target="https://talan.bank.gov.ua/get-user-certificate/J5325ldWgBa7GXaF5V33" TargetMode="External"/><Relationship Id="rId51" Type="http://schemas.openxmlformats.org/officeDocument/2006/relationships/hyperlink" Target="https://talan.bank.gov.ua/get-user-certificate/J5325hqtnMvRSB3sIosd" TargetMode="External"/><Relationship Id="rId1412" Type="http://schemas.openxmlformats.org/officeDocument/2006/relationships/hyperlink" Target="https://talan.bank.gov.ua/get-user-certificate/J5325-klYKRrZHuv4Kz1" TargetMode="External"/><Relationship Id="rId3377" Type="http://schemas.openxmlformats.org/officeDocument/2006/relationships/hyperlink" Target="https://talan.bank.gov.ua/get-user-certificate/J5325pFWIhWgUMcW-ZRx" TargetMode="External"/><Relationship Id="rId298" Type="http://schemas.openxmlformats.org/officeDocument/2006/relationships/hyperlink" Target="https://talan.bank.gov.ua/get-user-certificate/J5325RLzqGkWMLwyj61L" TargetMode="External"/><Relationship Id="rId3584" Type="http://schemas.openxmlformats.org/officeDocument/2006/relationships/hyperlink" Target="https://talan.bank.gov.ua/get-user-certificate/J5325jH1dBOEwlx3ZjAc" TargetMode="External"/><Relationship Id="rId3791" Type="http://schemas.openxmlformats.org/officeDocument/2006/relationships/hyperlink" Target="https://talan.bank.gov.ua/get-user-certificate/J5325DPk6I8Vd8ea2C47" TargetMode="External"/><Relationship Id="rId158" Type="http://schemas.openxmlformats.org/officeDocument/2006/relationships/hyperlink" Target="https://talan.bank.gov.ua/get-user-certificate/J5325KQP7GndVry_3QNR" TargetMode="External"/><Relationship Id="rId2186" Type="http://schemas.openxmlformats.org/officeDocument/2006/relationships/hyperlink" Target="https://talan.bank.gov.ua/get-user-certificate/J5325uE6Zu8j85WArvVx" TargetMode="External"/><Relationship Id="rId2393" Type="http://schemas.openxmlformats.org/officeDocument/2006/relationships/hyperlink" Target="https://talan.bank.gov.ua/get-user-certificate/J53253FBx0oJ2Jk3WRNf" TargetMode="External"/><Relationship Id="rId3237" Type="http://schemas.openxmlformats.org/officeDocument/2006/relationships/hyperlink" Target="https://talan.bank.gov.ua/get-user-certificate/J5325M1zdHso7GeESr_B" TargetMode="External"/><Relationship Id="rId3444" Type="http://schemas.openxmlformats.org/officeDocument/2006/relationships/hyperlink" Target="https://talan.bank.gov.ua/get-user-certificate/J53255QLGRKo9O46bDem" TargetMode="External"/><Relationship Id="rId3651" Type="http://schemas.openxmlformats.org/officeDocument/2006/relationships/hyperlink" Target="https://talan.bank.gov.ua/get-user-certificate/J5325uamsGx9NMLFNeWp" TargetMode="External"/><Relationship Id="rId365" Type="http://schemas.openxmlformats.org/officeDocument/2006/relationships/hyperlink" Target="https://talan.bank.gov.ua/get-user-certificate/J5325TA-Kof1P01rfpkK" TargetMode="External"/><Relationship Id="rId572" Type="http://schemas.openxmlformats.org/officeDocument/2006/relationships/hyperlink" Target="https://talan.bank.gov.ua/get-user-certificate/J5325boJHFA9etHmRvvj" TargetMode="External"/><Relationship Id="rId2046" Type="http://schemas.openxmlformats.org/officeDocument/2006/relationships/hyperlink" Target="https://talan.bank.gov.ua/get-user-certificate/J53255I6JiCFwDdwM6mZ" TargetMode="External"/><Relationship Id="rId2253" Type="http://schemas.openxmlformats.org/officeDocument/2006/relationships/hyperlink" Target="https://talan.bank.gov.ua/get-user-certificate/J53258vzW4QKtnqf4zFM" TargetMode="External"/><Relationship Id="rId2460" Type="http://schemas.openxmlformats.org/officeDocument/2006/relationships/hyperlink" Target="https://talan.bank.gov.ua/get-user-certificate/J5325cjYsdB8FsSCqzmJ" TargetMode="External"/><Relationship Id="rId3304" Type="http://schemas.openxmlformats.org/officeDocument/2006/relationships/hyperlink" Target="https://talan.bank.gov.ua/get-user-certificate/J5325ymRRwh7zEtaQUCY" TargetMode="External"/><Relationship Id="rId3511" Type="http://schemas.openxmlformats.org/officeDocument/2006/relationships/hyperlink" Target="https://talan.bank.gov.ua/get-user-certificate/J5325z_5niwM6ChDG0sx" TargetMode="External"/><Relationship Id="rId225" Type="http://schemas.openxmlformats.org/officeDocument/2006/relationships/hyperlink" Target="https://talan.bank.gov.ua/get-user-certificate/J5325TjBkSgKNBEz691P" TargetMode="External"/><Relationship Id="rId432" Type="http://schemas.openxmlformats.org/officeDocument/2006/relationships/hyperlink" Target="https://talan.bank.gov.ua/get-user-certificate/J5325RtDDvFvUODXcy5h" TargetMode="External"/><Relationship Id="rId1062" Type="http://schemas.openxmlformats.org/officeDocument/2006/relationships/hyperlink" Target="https://talan.bank.gov.ua/get-user-certificate/J5325uEWFgrzyacY_jfI" TargetMode="External"/><Relationship Id="rId2113" Type="http://schemas.openxmlformats.org/officeDocument/2006/relationships/hyperlink" Target="https://talan.bank.gov.ua/get-user-certificate/J5325B6TDuNO3-DQpzMN" TargetMode="External"/><Relationship Id="rId2320" Type="http://schemas.openxmlformats.org/officeDocument/2006/relationships/hyperlink" Target="https://talan.bank.gov.ua/get-user-certificate/J5325176LHwZivk3Smwj" TargetMode="External"/><Relationship Id="rId4078" Type="http://schemas.openxmlformats.org/officeDocument/2006/relationships/hyperlink" Target="https://talan.bank.gov.ua/get-user-certificate/J5325qlblDjOtCiHXwmQ" TargetMode="External"/><Relationship Id="rId1879" Type="http://schemas.openxmlformats.org/officeDocument/2006/relationships/hyperlink" Target="https://talan.bank.gov.ua/get-user-certificate/J5325iuaO_i7Nz4MEJF7" TargetMode="External"/><Relationship Id="rId3094" Type="http://schemas.openxmlformats.org/officeDocument/2006/relationships/hyperlink" Target="https://talan.bank.gov.ua/get-user-certificate/J53254ntP5wFStM_f_z_" TargetMode="External"/><Relationship Id="rId4145" Type="http://schemas.openxmlformats.org/officeDocument/2006/relationships/hyperlink" Target="https://talan.bank.gov.ua/get-user-certificate/J5325zN-RxRyDx2uYicx" TargetMode="External"/><Relationship Id="rId1739" Type="http://schemas.openxmlformats.org/officeDocument/2006/relationships/hyperlink" Target="https://talan.bank.gov.ua/get-user-certificate/J5325VKnKBrg-3CuaoX7" TargetMode="External"/><Relationship Id="rId1946" Type="http://schemas.openxmlformats.org/officeDocument/2006/relationships/hyperlink" Target="https://talan.bank.gov.ua/get-user-certificate/J5325wfempxiU-1VJAtn" TargetMode="External"/><Relationship Id="rId4005" Type="http://schemas.openxmlformats.org/officeDocument/2006/relationships/hyperlink" Target="https://talan.bank.gov.ua/get-user-certificate/J5325PmbLdWUreNcXbpA" TargetMode="External"/><Relationship Id="rId1806" Type="http://schemas.openxmlformats.org/officeDocument/2006/relationships/hyperlink" Target="https://talan.bank.gov.ua/get-user-certificate/J5325zFWK7nM3t8mc4yZ" TargetMode="External"/><Relationship Id="rId3161" Type="http://schemas.openxmlformats.org/officeDocument/2006/relationships/hyperlink" Target="https://talan.bank.gov.ua/get-user-certificate/J53258Bwo-xNRiHCD-Ek" TargetMode="External"/><Relationship Id="rId4212" Type="http://schemas.openxmlformats.org/officeDocument/2006/relationships/hyperlink" Target="https://talan.bank.gov.ua/get-user-certificate/lHoZPFzkEi9fxhYKYV0w" TargetMode="External"/><Relationship Id="rId3021" Type="http://schemas.openxmlformats.org/officeDocument/2006/relationships/hyperlink" Target="https://talan.bank.gov.ua/get-user-certificate/J5325htL_hbXVzpVUPo-" TargetMode="External"/><Relationship Id="rId3978" Type="http://schemas.openxmlformats.org/officeDocument/2006/relationships/hyperlink" Target="https://talan.bank.gov.ua/get-user-certificate/J5325gGQiMbHTbidJui2" TargetMode="External"/><Relationship Id="rId899" Type="http://schemas.openxmlformats.org/officeDocument/2006/relationships/hyperlink" Target="https://talan.bank.gov.ua/get-user-certificate/J5325O61ZsXxZ2ye37N0" TargetMode="External"/><Relationship Id="rId2787" Type="http://schemas.openxmlformats.org/officeDocument/2006/relationships/hyperlink" Target="https://talan.bank.gov.ua/get-user-certificate/J532516KcM7yHwh8NoFs" TargetMode="External"/><Relationship Id="rId3838" Type="http://schemas.openxmlformats.org/officeDocument/2006/relationships/hyperlink" Target="https://talan.bank.gov.ua/get-user-certificate/J5325qsYVzqB09XOm7Bk" TargetMode="External"/><Relationship Id="rId759" Type="http://schemas.openxmlformats.org/officeDocument/2006/relationships/hyperlink" Target="https://talan.bank.gov.ua/get-user-certificate/J5325y7nZWsvfz4o04GI" TargetMode="External"/><Relationship Id="rId966" Type="http://schemas.openxmlformats.org/officeDocument/2006/relationships/hyperlink" Target="https://talan.bank.gov.ua/get-user-certificate/J5325XtWrN-4eyMSIB9I" TargetMode="External"/><Relationship Id="rId1389" Type="http://schemas.openxmlformats.org/officeDocument/2006/relationships/hyperlink" Target="https://talan.bank.gov.ua/get-user-certificate/J5325EfPVCmuBrpyh5hf" TargetMode="External"/><Relationship Id="rId1596" Type="http://schemas.openxmlformats.org/officeDocument/2006/relationships/hyperlink" Target="https://talan.bank.gov.ua/get-user-certificate/J5325dSIDuUdA9nlsqFu" TargetMode="External"/><Relationship Id="rId2647" Type="http://schemas.openxmlformats.org/officeDocument/2006/relationships/hyperlink" Target="https://talan.bank.gov.ua/get-user-certificate/J5325Zm1HNzoIgVIrbjV" TargetMode="External"/><Relationship Id="rId2994" Type="http://schemas.openxmlformats.org/officeDocument/2006/relationships/hyperlink" Target="https://talan.bank.gov.ua/get-user-certificate/J5325_bB5WaabcfZ5SFP" TargetMode="External"/><Relationship Id="rId619" Type="http://schemas.openxmlformats.org/officeDocument/2006/relationships/hyperlink" Target="https://talan.bank.gov.ua/get-user-certificate/J5325KfHGggy9hWyehMm" TargetMode="External"/><Relationship Id="rId1249" Type="http://schemas.openxmlformats.org/officeDocument/2006/relationships/hyperlink" Target="https://talan.bank.gov.ua/get-user-certificate/J5325tc6P0LlbqQs2-XY" TargetMode="External"/><Relationship Id="rId2854" Type="http://schemas.openxmlformats.org/officeDocument/2006/relationships/hyperlink" Target="https://talan.bank.gov.ua/get-user-certificate/J5325-Z3MCvYXVk_Byw5" TargetMode="External"/><Relationship Id="rId3905" Type="http://schemas.openxmlformats.org/officeDocument/2006/relationships/hyperlink" Target="https://talan.bank.gov.ua/get-user-certificate/J53253ck06uEds7OTjYl" TargetMode="External"/><Relationship Id="rId95" Type="http://schemas.openxmlformats.org/officeDocument/2006/relationships/hyperlink" Target="https://talan.bank.gov.ua/get-user-certificate/J5325xNDiOTO4Uay9r4B" TargetMode="External"/><Relationship Id="rId826" Type="http://schemas.openxmlformats.org/officeDocument/2006/relationships/hyperlink" Target="https://talan.bank.gov.ua/get-user-certificate/J5325bL7z3iHX_6MQ1yA" TargetMode="External"/><Relationship Id="rId1109" Type="http://schemas.openxmlformats.org/officeDocument/2006/relationships/hyperlink" Target="https://talan.bank.gov.ua/get-user-certificate/J5325awjK3cNTxamq-jK" TargetMode="External"/><Relationship Id="rId1456" Type="http://schemas.openxmlformats.org/officeDocument/2006/relationships/hyperlink" Target="https://talan.bank.gov.ua/get-user-certificate/J5325Pq7w3O-u-649jj4" TargetMode="External"/><Relationship Id="rId1663" Type="http://schemas.openxmlformats.org/officeDocument/2006/relationships/hyperlink" Target="https://talan.bank.gov.ua/get-user-certificate/J5325WUHWx-_xNGgeN1H" TargetMode="External"/><Relationship Id="rId1870" Type="http://schemas.openxmlformats.org/officeDocument/2006/relationships/hyperlink" Target="https://talan.bank.gov.ua/get-user-certificate/J5325NPvbJV-sfyIp3dr" TargetMode="External"/><Relationship Id="rId2507" Type="http://schemas.openxmlformats.org/officeDocument/2006/relationships/hyperlink" Target="https://talan.bank.gov.ua/get-user-certificate/J5325RfGg37hNBXFBiqn" TargetMode="External"/><Relationship Id="rId2714" Type="http://schemas.openxmlformats.org/officeDocument/2006/relationships/hyperlink" Target="https://talan.bank.gov.ua/get-user-certificate/J5325Q1OuQB4qwEJmvFc" TargetMode="External"/><Relationship Id="rId2921" Type="http://schemas.openxmlformats.org/officeDocument/2006/relationships/hyperlink" Target="https://talan.bank.gov.ua/get-user-certificate/J5325lWqlNOIUNVqPYpU" TargetMode="External"/><Relationship Id="rId1316" Type="http://schemas.openxmlformats.org/officeDocument/2006/relationships/hyperlink" Target="https://talan.bank.gov.ua/get-user-certificate/J5325gceCmGgJ8Dbjz1p" TargetMode="External"/><Relationship Id="rId1523" Type="http://schemas.openxmlformats.org/officeDocument/2006/relationships/hyperlink" Target="https://talan.bank.gov.ua/get-user-certificate/J5325M4F91BuHiGxTCgc" TargetMode="External"/><Relationship Id="rId1730" Type="http://schemas.openxmlformats.org/officeDocument/2006/relationships/hyperlink" Target="https://talan.bank.gov.ua/get-user-certificate/J5325pHRT47CfuaKp5Hw" TargetMode="External"/><Relationship Id="rId22" Type="http://schemas.openxmlformats.org/officeDocument/2006/relationships/hyperlink" Target="https://talan.bank.gov.ua/get-user-certificate/J5325bBJxn_IqcDFO7Ck" TargetMode="External"/><Relationship Id="rId3488" Type="http://schemas.openxmlformats.org/officeDocument/2006/relationships/hyperlink" Target="https://talan.bank.gov.ua/get-user-certificate/J5325KMYS-SZynQlytoL" TargetMode="External"/><Relationship Id="rId3695" Type="http://schemas.openxmlformats.org/officeDocument/2006/relationships/hyperlink" Target="https://talan.bank.gov.ua/get-user-certificate/J5325Ilw0kIe4fichkZS" TargetMode="External"/><Relationship Id="rId2297" Type="http://schemas.openxmlformats.org/officeDocument/2006/relationships/hyperlink" Target="https://talan.bank.gov.ua/get-user-certificate/J5325cYQCqZFVQErSjLC" TargetMode="External"/><Relationship Id="rId3348" Type="http://schemas.openxmlformats.org/officeDocument/2006/relationships/hyperlink" Target="https://talan.bank.gov.ua/get-user-certificate/J5325jUyWtrYsg14BBvr" TargetMode="External"/><Relationship Id="rId3555" Type="http://schemas.openxmlformats.org/officeDocument/2006/relationships/hyperlink" Target="https://talan.bank.gov.ua/get-user-certificate/J5325zwNCNZUQgbSkPYH" TargetMode="External"/><Relationship Id="rId3762" Type="http://schemas.openxmlformats.org/officeDocument/2006/relationships/hyperlink" Target="https://talan.bank.gov.ua/get-user-certificate/J5325Wa1pDdBN3Shhwn3" TargetMode="External"/><Relationship Id="rId269" Type="http://schemas.openxmlformats.org/officeDocument/2006/relationships/hyperlink" Target="https://talan.bank.gov.ua/get-user-certificate/J5325t-6Z-OUm3B5chjL" TargetMode="External"/><Relationship Id="rId476" Type="http://schemas.openxmlformats.org/officeDocument/2006/relationships/hyperlink" Target="https://talan.bank.gov.ua/get-user-certificate/J5325IWvMiNFQbKaES9_" TargetMode="External"/><Relationship Id="rId683" Type="http://schemas.openxmlformats.org/officeDocument/2006/relationships/hyperlink" Target="https://talan.bank.gov.ua/get-user-certificate/J5325Cce7xYkGiBtzKEM" TargetMode="External"/><Relationship Id="rId890" Type="http://schemas.openxmlformats.org/officeDocument/2006/relationships/hyperlink" Target="https://talan.bank.gov.ua/get-user-certificate/J5325y0N9Gkdk9qtd-8W" TargetMode="External"/><Relationship Id="rId2157" Type="http://schemas.openxmlformats.org/officeDocument/2006/relationships/hyperlink" Target="https://talan.bank.gov.ua/get-user-certificate/J5325NyRPiVeeuF3Y3Ih" TargetMode="External"/><Relationship Id="rId2364" Type="http://schemas.openxmlformats.org/officeDocument/2006/relationships/hyperlink" Target="https://talan.bank.gov.ua/get-user-certificate/J53250Dkv1jRaJRAEUDo" TargetMode="External"/><Relationship Id="rId2571" Type="http://schemas.openxmlformats.org/officeDocument/2006/relationships/hyperlink" Target="https://talan.bank.gov.ua/get-user-certificate/J5325LOLHOuDfGDHUD1W" TargetMode="External"/><Relationship Id="rId3208" Type="http://schemas.openxmlformats.org/officeDocument/2006/relationships/hyperlink" Target="https://talan.bank.gov.ua/get-user-certificate/J532520VkAuo52t0twVB" TargetMode="External"/><Relationship Id="rId3415" Type="http://schemas.openxmlformats.org/officeDocument/2006/relationships/hyperlink" Target="https://talan.bank.gov.ua/get-user-certificate/J5325QYZF9kJ0FXPANGI" TargetMode="External"/><Relationship Id="rId129" Type="http://schemas.openxmlformats.org/officeDocument/2006/relationships/hyperlink" Target="https://talan.bank.gov.ua/get-user-certificate/J5325Lrwa_-hRKA8nGN9" TargetMode="External"/><Relationship Id="rId336" Type="http://schemas.openxmlformats.org/officeDocument/2006/relationships/hyperlink" Target="https://talan.bank.gov.ua/get-user-certificate/J5325oHi7NV1-wwSKDR-" TargetMode="External"/><Relationship Id="rId543" Type="http://schemas.openxmlformats.org/officeDocument/2006/relationships/hyperlink" Target="https://talan.bank.gov.ua/get-user-certificate/J5325Iu1YtHkGnst5gJW" TargetMode="External"/><Relationship Id="rId1173" Type="http://schemas.openxmlformats.org/officeDocument/2006/relationships/hyperlink" Target="https://talan.bank.gov.ua/get-user-certificate/J532520fl8v1bYDgptug" TargetMode="External"/><Relationship Id="rId1380" Type="http://schemas.openxmlformats.org/officeDocument/2006/relationships/hyperlink" Target="https://talan.bank.gov.ua/get-user-certificate/J5325U7GXQUkFMV3uJ7o" TargetMode="External"/><Relationship Id="rId2017" Type="http://schemas.openxmlformats.org/officeDocument/2006/relationships/hyperlink" Target="https://talan.bank.gov.ua/get-user-certificate/J5325_7XjU2JrH0WLCyp" TargetMode="External"/><Relationship Id="rId2224" Type="http://schemas.openxmlformats.org/officeDocument/2006/relationships/hyperlink" Target="https://talan.bank.gov.ua/get-user-certificate/J5325TP9QZ5IAy9Z-Th8" TargetMode="External"/><Relationship Id="rId3622" Type="http://schemas.openxmlformats.org/officeDocument/2006/relationships/hyperlink" Target="https://talan.bank.gov.ua/get-user-certificate/J5325FwKcDrZiuV8IG5q" TargetMode="External"/><Relationship Id="rId403" Type="http://schemas.openxmlformats.org/officeDocument/2006/relationships/hyperlink" Target="https://talan.bank.gov.ua/get-user-certificate/J5325zgdbvSiX-TqbAG2" TargetMode="External"/><Relationship Id="rId750" Type="http://schemas.openxmlformats.org/officeDocument/2006/relationships/hyperlink" Target="https://talan.bank.gov.ua/get-user-certificate/J5325mW--d5FtcF1-M-S" TargetMode="External"/><Relationship Id="rId1033" Type="http://schemas.openxmlformats.org/officeDocument/2006/relationships/hyperlink" Target="https://talan.bank.gov.ua/get-user-certificate/J5325CExtbXp1ZgVxZeg" TargetMode="External"/><Relationship Id="rId2431" Type="http://schemas.openxmlformats.org/officeDocument/2006/relationships/hyperlink" Target="https://talan.bank.gov.ua/get-user-certificate/J5325hBLNYLVQHFwqBDQ" TargetMode="External"/><Relationship Id="rId4189" Type="http://schemas.openxmlformats.org/officeDocument/2006/relationships/hyperlink" Target="https://talan.bank.gov.ua/get-user-certificate/TbxZWYVkaqSDEau3G1ln" TargetMode="External"/><Relationship Id="rId610" Type="http://schemas.openxmlformats.org/officeDocument/2006/relationships/hyperlink" Target="https://talan.bank.gov.ua/get-user-certificate/J5325GxcnZ5MRTkdn5Zs" TargetMode="External"/><Relationship Id="rId1240" Type="http://schemas.openxmlformats.org/officeDocument/2006/relationships/hyperlink" Target="https://talan.bank.gov.ua/get-user-certificate/J5325s8Og-I5CuAWW97V" TargetMode="External"/><Relationship Id="rId4049" Type="http://schemas.openxmlformats.org/officeDocument/2006/relationships/hyperlink" Target="https://talan.bank.gov.ua/get-user-certificate/J5325FYQ_sSdzlnaz_SS" TargetMode="External"/><Relationship Id="rId1100" Type="http://schemas.openxmlformats.org/officeDocument/2006/relationships/hyperlink" Target="https://talan.bank.gov.ua/get-user-certificate/J5325OLUDrjMAyUul-5j" TargetMode="External"/><Relationship Id="rId4256" Type="http://schemas.openxmlformats.org/officeDocument/2006/relationships/hyperlink" Target="https://talan.bank.gov.ua/get-user-certificate/CYWPHen7ZyDus4uzacea" TargetMode="External"/><Relationship Id="rId1917" Type="http://schemas.openxmlformats.org/officeDocument/2006/relationships/hyperlink" Target="https://talan.bank.gov.ua/get-user-certificate/J5325yLOBY1Xnl2UDFwK" TargetMode="External"/><Relationship Id="rId3065" Type="http://schemas.openxmlformats.org/officeDocument/2006/relationships/hyperlink" Target="https://talan.bank.gov.ua/get-user-certificate/J5325lEPw19EvErveDEx" TargetMode="External"/><Relationship Id="rId3272" Type="http://schemas.openxmlformats.org/officeDocument/2006/relationships/hyperlink" Target="https://talan.bank.gov.ua/get-user-certificate/J53253lZLug0B8BvFKFE" TargetMode="External"/><Relationship Id="rId4116" Type="http://schemas.openxmlformats.org/officeDocument/2006/relationships/hyperlink" Target="https://talan.bank.gov.ua/get-user-certificate/J5325tUdUsB66B-oyFTP" TargetMode="External"/><Relationship Id="rId193" Type="http://schemas.openxmlformats.org/officeDocument/2006/relationships/hyperlink" Target="https://talan.bank.gov.ua/get-user-certificate/J5325co66_-YRu6xpcK0" TargetMode="External"/><Relationship Id="rId2081" Type="http://schemas.openxmlformats.org/officeDocument/2006/relationships/hyperlink" Target="https://talan.bank.gov.ua/get-user-certificate/J53256j3wIh-2RYsdgA6" TargetMode="External"/><Relationship Id="rId3132" Type="http://schemas.openxmlformats.org/officeDocument/2006/relationships/hyperlink" Target="https://talan.bank.gov.ua/get-user-certificate/J5325C68ZNHkQepXcFuL" TargetMode="External"/><Relationship Id="rId260" Type="http://schemas.openxmlformats.org/officeDocument/2006/relationships/hyperlink" Target="https://talan.bank.gov.ua/get-user-certificate/J5325zlzj5D3KNCUtvWu" TargetMode="External"/><Relationship Id="rId120" Type="http://schemas.openxmlformats.org/officeDocument/2006/relationships/hyperlink" Target="https://talan.bank.gov.ua/get-user-certificate/J5325oRCIt7oLQmNbLHm" TargetMode="External"/><Relationship Id="rId2898" Type="http://schemas.openxmlformats.org/officeDocument/2006/relationships/hyperlink" Target="https://talan.bank.gov.ua/get-user-certificate/J53251n4Bwj4FGS4bH1m" TargetMode="External"/><Relationship Id="rId3949" Type="http://schemas.openxmlformats.org/officeDocument/2006/relationships/hyperlink" Target="https://talan.bank.gov.ua/get-user-certificate/J5325pta38SL8oK7QPoa" TargetMode="External"/><Relationship Id="rId2758" Type="http://schemas.openxmlformats.org/officeDocument/2006/relationships/hyperlink" Target="https://talan.bank.gov.ua/get-user-certificate/J5325N7ziPz-_6E1lMNW" TargetMode="External"/><Relationship Id="rId2965" Type="http://schemas.openxmlformats.org/officeDocument/2006/relationships/hyperlink" Target="https://talan.bank.gov.ua/get-user-certificate/J5325aa6dA5WnfZn9vUi" TargetMode="External"/><Relationship Id="rId3809" Type="http://schemas.openxmlformats.org/officeDocument/2006/relationships/hyperlink" Target="https://talan.bank.gov.ua/get-user-certificate/J5325xWeZLEmw9npb3U7" TargetMode="External"/><Relationship Id="rId937" Type="http://schemas.openxmlformats.org/officeDocument/2006/relationships/hyperlink" Target="https://talan.bank.gov.ua/get-user-certificate/J5325YX3EjzSB1G8vHh8" TargetMode="External"/><Relationship Id="rId1567" Type="http://schemas.openxmlformats.org/officeDocument/2006/relationships/hyperlink" Target="https://talan.bank.gov.ua/get-user-certificate/J5325l9cCuX49iFIQxu5" TargetMode="External"/><Relationship Id="rId1774" Type="http://schemas.openxmlformats.org/officeDocument/2006/relationships/hyperlink" Target="https://talan.bank.gov.ua/get-user-certificate/J5325EDjYMQfxuYvYF0h" TargetMode="External"/><Relationship Id="rId1981" Type="http://schemas.openxmlformats.org/officeDocument/2006/relationships/hyperlink" Target="https://talan.bank.gov.ua/get-user-certificate/J5325fFzPPNdl6-N3tBs" TargetMode="External"/><Relationship Id="rId2618" Type="http://schemas.openxmlformats.org/officeDocument/2006/relationships/hyperlink" Target="https://talan.bank.gov.ua/get-user-certificate/J5325VJfpvWKC-4VxBM7" TargetMode="External"/><Relationship Id="rId2825" Type="http://schemas.openxmlformats.org/officeDocument/2006/relationships/hyperlink" Target="https://talan.bank.gov.ua/get-user-certificate/J5325IW-MeE_ngyZYldC" TargetMode="External"/><Relationship Id="rId4180" Type="http://schemas.openxmlformats.org/officeDocument/2006/relationships/hyperlink" Target="https://talan.bank.gov.ua/get-user-certificate/TbxZWXFdOyvsWOP7HELC" TargetMode="External"/><Relationship Id="rId66" Type="http://schemas.openxmlformats.org/officeDocument/2006/relationships/hyperlink" Target="https://talan.bank.gov.ua/get-user-certificate/J5325mVTcKM6klpkNPjX" TargetMode="External"/><Relationship Id="rId1427" Type="http://schemas.openxmlformats.org/officeDocument/2006/relationships/hyperlink" Target="https://talan.bank.gov.ua/get-user-certificate/J5325mnaMn8ngoy-GEZ5" TargetMode="External"/><Relationship Id="rId1634" Type="http://schemas.openxmlformats.org/officeDocument/2006/relationships/hyperlink" Target="https://talan.bank.gov.ua/get-user-certificate/J5325LcFcQj9VvVA_fgo" TargetMode="External"/><Relationship Id="rId1841" Type="http://schemas.openxmlformats.org/officeDocument/2006/relationships/hyperlink" Target="https://talan.bank.gov.ua/get-user-certificate/J5325noZBPzgmtKRjRSb" TargetMode="External"/><Relationship Id="rId4040" Type="http://schemas.openxmlformats.org/officeDocument/2006/relationships/hyperlink" Target="https://talan.bank.gov.ua/get-user-certificate/J5325UjAj6MCh-h8CnM4" TargetMode="External"/><Relationship Id="rId3599" Type="http://schemas.openxmlformats.org/officeDocument/2006/relationships/hyperlink" Target="https://talan.bank.gov.ua/get-user-certificate/J5325VO3LiXqEtN-XxT8" TargetMode="External"/><Relationship Id="rId1701" Type="http://schemas.openxmlformats.org/officeDocument/2006/relationships/hyperlink" Target="https://talan.bank.gov.ua/get-user-certificate/J5325NvlwX4CSXY_fzN6" TargetMode="External"/><Relationship Id="rId3459" Type="http://schemas.openxmlformats.org/officeDocument/2006/relationships/hyperlink" Target="https://talan.bank.gov.ua/get-user-certificate/J5325FB2cgWcGLHeA6lR" TargetMode="External"/><Relationship Id="rId3666" Type="http://schemas.openxmlformats.org/officeDocument/2006/relationships/hyperlink" Target="https://talan.bank.gov.ua/get-user-certificate/J5325nXaqLnwn2jACS1u" TargetMode="External"/><Relationship Id="rId587" Type="http://schemas.openxmlformats.org/officeDocument/2006/relationships/hyperlink" Target="https://talan.bank.gov.ua/get-user-certificate/J5325CNJhD38_Gjo7LRS" TargetMode="External"/><Relationship Id="rId2268" Type="http://schemas.openxmlformats.org/officeDocument/2006/relationships/hyperlink" Target="https://talan.bank.gov.ua/get-user-certificate/J5325gmaVI1DUTy5W1jS" TargetMode="External"/><Relationship Id="rId3319" Type="http://schemas.openxmlformats.org/officeDocument/2006/relationships/hyperlink" Target="https://talan.bank.gov.ua/get-user-certificate/J5325VzHCdI-mMQBWi-d" TargetMode="External"/><Relationship Id="rId3873" Type="http://schemas.openxmlformats.org/officeDocument/2006/relationships/hyperlink" Target="https://talan.bank.gov.ua/get-user-certificate/J5325NchDlBMIM9-uKWD" TargetMode="External"/><Relationship Id="rId447" Type="http://schemas.openxmlformats.org/officeDocument/2006/relationships/hyperlink" Target="https://talan.bank.gov.ua/get-user-certificate/J5325YA2yuhuyR0VWxAs" TargetMode="External"/><Relationship Id="rId794" Type="http://schemas.openxmlformats.org/officeDocument/2006/relationships/hyperlink" Target="https://talan.bank.gov.ua/get-user-certificate/J5325lxaD6yUORgz7Cnn" TargetMode="External"/><Relationship Id="rId1077" Type="http://schemas.openxmlformats.org/officeDocument/2006/relationships/hyperlink" Target="https://talan.bank.gov.ua/get-user-certificate/J5325y9mqIbaRv3vrlL1" TargetMode="External"/><Relationship Id="rId2128" Type="http://schemas.openxmlformats.org/officeDocument/2006/relationships/hyperlink" Target="https://talan.bank.gov.ua/get-user-certificate/J53253yTjebZwgLhqWcl" TargetMode="External"/><Relationship Id="rId2475" Type="http://schemas.openxmlformats.org/officeDocument/2006/relationships/hyperlink" Target="https://talan.bank.gov.ua/get-user-certificate/J53252ZSEUsDr75PBL9I" TargetMode="External"/><Relationship Id="rId2682" Type="http://schemas.openxmlformats.org/officeDocument/2006/relationships/hyperlink" Target="https://talan.bank.gov.ua/get-user-certificate/J53256nd_9VpcMf9DxE8" TargetMode="External"/><Relationship Id="rId3526" Type="http://schemas.openxmlformats.org/officeDocument/2006/relationships/hyperlink" Target="https://talan.bank.gov.ua/get-user-certificate/J5325fUZTPmZLUNS5ftA" TargetMode="External"/><Relationship Id="rId3733" Type="http://schemas.openxmlformats.org/officeDocument/2006/relationships/hyperlink" Target="https://talan.bank.gov.ua/get-user-certificate/J5325btI3cD7DwCgzjCf" TargetMode="External"/><Relationship Id="rId3940" Type="http://schemas.openxmlformats.org/officeDocument/2006/relationships/hyperlink" Target="https://talan.bank.gov.ua/get-user-certificate/J532581Y5oRDSaPXed-I" TargetMode="External"/><Relationship Id="rId654" Type="http://schemas.openxmlformats.org/officeDocument/2006/relationships/hyperlink" Target="https://talan.bank.gov.ua/get-user-certificate/J53259A0tYxZ6QF3UjW_" TargetMode="External"/><Relationship Id="rId861" Type="http://schemas.openxmlformats.org/officeDocument/2006/relationships/hyperlink" Target="https://talan.bank.gov.ua/get-user-certificate/J5325j_UM0rxW3KlJwww" TargetMode="External"/><Relationship Id="rId1284" Type="http://schemas.openxmlformats.org/officeDocument/2006/relationships/hyperlink" Target="https://talan.bank.gov.ua/get-user-certificate/J5325NFbkJgP1bymxKNO" TargetMode="External"/><Relationship Id="rId1491" Type="http://schemas.openxmlformats.org/officeDocument/2006/relationships/hyperlink" Target="https://talan.bank.gov.ua/get-user-certificate/J53259aJ6TPnWiE3ttRq" TargetMode="External"/><Relationship Id="rId2335" Type="http://schemas.openxmlformats.org/officeDocument/2006/relationships/hyperlink" Target="https://talan.bank.gov.ua/get-user-certificate/J5325EEMgcDdTBeQ0rBN" TargetMode="External"/><Relationship Id="rId2542" Type="http://schemas.openxmlformats.org/officeDocument/2006/relationships/hyperlink" Target="https://talan.bank.gov.ua/get-user-certificate/J5325sH9XHdOJv3RhFYd" TargetMode="External"/><Relationship Id="rId3800" Type="http://schemas.openxmlformats.org/officeDocument/2006/relationships/hyperlink" Target="https://talan.bank.gov.ua/get-user-certificate/J5325U77fEZVD6mCGSxA" TargetMode="External"/><Relationship Id="rId307" Type="http://schemas.openxmlformats.org/officeDocument/2006/relationships/hyperlink" Target="https://talan.bank.gov.ua/get-user-certificate/J5325rJot5Kt24ywWLWa" TargetMode="External"/><Relationship Id="rId514" Type="http://schemas.openxmlformats.org/officeDocument/2006/relationships/hyperlink" Target="https://talan.bank.gov.ua/get-user-certificate/J5325foGuU_xnJiVnIZf" TargetMode="External"/><Relationship Id="rId721" Type="http://schemas.openxmlformats.org/officeDocument/2006/relationships/hyperlink" Target="https://talan.bank.gov.ua/get-user-certificate/J5325XipVs0xK9UeuhNM" TargetMode="External"/><Relationship Id="rId1144" Type="http://schemas.openxmlformats.org/officeDocument/2006/relationships/hyperlink" Target="https://talan.bank.gov.ua/get-user-certificate/J532510LIZD9Ol36mkEZ" TargetMode="External"/><Relationship Id="rId1351" Type="http://schemas.openxmlformats.org/officeDocument/2006/relationships/hyperlink" Target="https://talan.bank.gov.ua/get-user-certificate/J5325RCirqSWXhxavJbK" TargetMode="External"/><Relationship Id="rId2402" Type="http://schemas.openxmlformats.org/officeDocument/2006/relationships/hyperlink" Target="https://talan.bank.gov.ua/get-user-certificate/J5325ac5_l9u8r6aACht" TargetMode="External"/><Relationship Id="rId1004" Type="http://schemas.openxmlformats.org/officeDocument/2006/relationships/hyperlink" Target="https://talan.bank.gov.ua/get-user-certificate/J5325KvTt4lWDcERvfdg" TargetMode="External"/><Relationship Id="rId1211" Type="http://schemas.openxmlformats.org/officeDocument/2006/relationships/hyperlink" Target="https://talan.bank.gov.ua/get-user-certificate/J5325EVGTkCw3CQjuom4" TargetMode="External"/><Relationship Id="rId3176" Type="http://schemas.openxmlformats.org/officeDocument/2006/relationships/hyperlink" Target="https://talan.bank.gov.ua/get-user-certificate/J5325Uj3IVUh2rxg5bhi" TargetMode="External"/><Relationship Id="rId3383" Type="http://schemas.openxmlformats.org/officeDocument/2006/relationships/hyperlink" Target="https://talan.bank.gov.ua/get-user-certificate/J53259vTCpzS-4KxIu1j" TargetMode="External"/><Relationship Id="rId3590" Type="http://schemas.openxmlformats.org/officeDocument/2006/relationships/hyperlink" Target="https://talan.bank.gov.ua/get-user-certificate/J5325clo29UZmDZ3LZtT" TargetMode="External"/><Relationship Id="rId4227" Type="http://schemas.openxmlformats.org/officeDocument/2006/relationships/hyperlink" Target="https://talan.bank.gov.ua/get-user-certificate/CYWPHNu5in0-z_QpNjky" TargetMode="External"/><Relationship Id="rId2192" Type="http://schemas.openxmlformats.org/officeDocument/2006/relationships/hyperlink" Target="https://talan.bank.gov.ua/get-user-certificate/J5325cU0SdivWgu3Nhjs" TargetMode="External"/><Relationship Id="rId3036" Type="http://schemas.openxmlformats.org/officeDocument/2006/relationships/hyperlink" Target="https://talan.bank.gov.ua/get-user-certificate/J5325_ns1ZR0GXsR5UYM" TargetMode="External"/><Relationship Id="rId3243" Type="http://schemas.openxmlformats.org/officeDocument/2006/relationships/hyperlink" Target="https://talan.bank.gov.ua/get-user-certificate/J5325s3YheACmV3OX_RE" TargetMode="External"/><Relationship Id="rId164" Type="http://schemas.openxmlformats.org/officeDocument/2006/relationships/hyperlink" Target="https://talan.bank.gov.ua/get-user-certificate/J5325k6ZV8gP7gNtZFfM" TargetMode="External"/><Relationship Id="rId371" Type="http://schemas.openxmlformats.org/officeDocument/2006/relationships/hyperlink" Target="https://talan.bank.gov.ua/get-user-certificate/J5325CbDK-FkDAuSaVVJ" TargetMode="External"/><Relationship Id="rId2052" Type="http://schemas.openxmlformats.org/officeDocument/2006/relationships/hyperlink" Target="https://talan.bank.gov.ua/get-user-certificate/J5325J1rFLBLr5hsEMHd" TargetMode="External"/><Relationship Id="rId3450" Type="http://schemas.openxmlformats.org/officeDocument/2006/relationships/hyperlink" Target="https://talan.bank.gov.ua/get-user-certificate/J5325w3R1-m0HAolQbU3" TargetMode="External"/><Relationship Id="rId3103" Type="http://schemas.openxmlformats.org/officeDocument/2006/relationships/hyperlink" Target="https://talan.bank.gov.ua/get-user-certificate/J5325aP9peXjDCJPr8v0" TargetMode="External"/><Relationship Id="rId3310" Type="http://schemas.openxmlformats.org/officeDocument/2006/relationships/hyperlink" Target="https://talan.bank.gov.ua/get-user-certificate/J53255Tf5ALuBHBb5YZG" TargetMode="External"/><Relationship Id="rId231" Type="http://schemas.openxmlformats.org/officeDocument/2006/relationships/hyperlink" Target="https://talan.bank.gov.ua/get-user-certificate/J5325jQCv2mZD41W6oJF" TargetMode="External"/><Relationship Id="rId2869" Type="http://schemas.openxmlformats.org/officeDocument/2006/relationships/hyperlink" Target="https://talan.bank.gov.ua/get-user-certificate/J5325t_PTE_BHaLfyck0" TargetMode="External"/><Relationship Id="rId1678" Type="http://schemas.openxmlformats.org/officeDocument/2006/relationships/hyperlink" Target="https://talan.bank.gov.ua/get-user-certificate/J5325WmjNcvzh3OAZh_P" TargetMode="External"/><Relationship Id="rId1885" Type="http://schemas.openxmlformats.org/officeDocument/2006/relationships/hyperlink" Target="https://talan.bank.gov.ua/get-user-certificate/J5325sKmr1FU1mn0ZzMC" TargetMode="External"/><Relationship Id="rId2729" Type="http://schemas.openxmlformats.org/officeDocument/2006/relationships/hyperlink" Target="https://talan.bank.gov.ua/get-user-certificate/J5325OfMEYhl8daMkVyU" TargetMode="External"/><Relationship Id="rId2936" Type="http://schemas.openxmlformats.org/officeDocument/2006/relationships/hyperlink" Target="https://talan.bank.gov.ua/get-user-certificate/J5325TtJnQUClAjrGrG-" TargetMode="External"/><Relationship Id="rId4084" Type="http://schemas.openxmlformats.org/officeDocument/2006/relationships/hyperlink" Target="https://talan.bank.gov.ua/get-user-certificate/J5325qdhsFDMicNfUlV8" TargetMode="External"/><Relationship Id="rId908" Type="http://schemas.openxmlformats.org/officeDocument/2006/relationships/hyperlink" Target="https://talan.bank.gov.ua/get-user-certificate/J5325dowh_MiviwpDkSq" TargetMode="External"/><Relationship Id="rId1538" Type="http://schemas.openxmlformats.org/officeDocument/2006/relationships/hyperlink" Target="https://talan.bank.gov.ua/get-user-certificate/J5325AKvbw_-Sb4lJo_u" TargetMode="External"/><Relationship Id="rId4151" Type="http://schemas.openxmlformats.org/officeDocument/2006/relationships/hyperlink" Target="https://talan.bank.gov.ua/get-user-certificate/J5325WoaljeV5gmXYCa1" TargetMode="External"/><Relationship Id="rId1745" Type="http://schemas.openxmlformats.org/officeDocument/2006/relationships/hyperlink" Target="https://talan.bank.gov.ua/get-user-certificate/J5325F814eVg-5Yq1mPb" TargetMode="External"/><Relationship Id="rId1952" Type="http://schemas.openxmlformats.org/officeDocument/2006/relationships/hyperlink" Target="https://talan.bank.gov.ua/get-user-certificate/J53258nTyUsdnvOUAm_4" TargetMode="External"/><Relationship Id="rId4011" Type="http://schemas.openxmlformats.org/officeDocument/2006/relationships/hyperlink" Target="https://talan.bank.gov.ua/get-user-certificate/J5325VpAqKGlOWbJBaxx" TargetMode="External"/><Relationship Id="rId37" Type="http://schemas.openxmlformats.org/officeDocument/2006/relationships/hyperlink" Target="https://talan.bank.gov.ua/get-user-certificate/J53252Dm0a0pQ3sq5H-S" TargetMode="External"/><Relationship Id="rId1605" Type="http://schemas.openxmlformats.org/officeDocument/2006/relationships/hyperlink" Target="https://talan.bank.gov.ua/get-user-certificate/J53254m_PjQNXq4unEAo" TargetMode="External"/><Relationship Id="rId1812" Type="http://schemas.openxmlformats.org/officeDocument/2006/relationships/hyperlink" Target="https://talan.bank.gov.ua/get-user-certificate/J5325g3Bc64w3pssBc48" TargetMode="External"/><Relationship Id="rId3777" Type="http://schemas.openxmlformats.org/officeDocument/2006/relationships/hyperlink" Target="https://talan.bank.gov.ua/get-user-certificate/J5325VYzlfvkOfzAkeyn" TargetMode="External"/><Relationship Id="rId3984" Type="http://schemas.openxmlformats.org/officeDocument/2006/relationships/hyperlink" Target="https://talan.bank.gov.ua/get-user-certificate/J5325VUxFSJ2-ujFGnZr" TargetMode="External"/><Relationship Id="rId698" Type="http://schemas.openxmlformats.org/officeDocument/2006/relationships/hyperlink" Target="https://talan.bank.gov.ua/get-user-certificate/J5325x1UtcjkMpfdnGfM" TargetMode="External"/><Relationship Id="rId2379" Type="http://schemas.openxmlformats.org/officeDocument/2006/relationships/hyperlink" Target="https://talan.bank.gov.ua/get-user-certificate/J5325Bghf8eWhUKu-Ht-" TargetMode="External"/><Relationship Id="rId2586" Type="http://schemas.openxmlformats.org/officeDocument/2006/relationships/hyperlink" Target="https://talan.bank.gov.ua/get-user-certificate/J5325J3BCJhwEr_cyNZx" TargetMode="External"/><Relationship Id="rId2793" Type="http://schemas.openxmlformats.org/officeDocument/2006/relationships/hyperlink" Target="https://talan.bank.gov.ua/get-user-certificate/J5325wirju_C67H_az2n" TargetMode="External"/><Relationship Id="rId3637" Type="http://schemas.openxmlformats.org/officeDocument/2006/relationships/hyperlink" Target="https://talan.bank.gov.ua/get-user-certificate/J5325PdqHQ2slt70xMKR" TargetMode="External"/><Relationship Id="rId3844" Type="http://schemas.openxmlformats.org/officeDocument/2006/relationships/hyperlink" Target="https://talan.bank.gov.ua/get-user-certificate/J5325uRxXejQvwa0GPrn" TargetMode="External"/><Relationship Id="rId558" Type="http://schemas.openxmlformats.org/officeDocument/2006/relationships/hyperlink" Target="https://talan.bank.gov.ua/get-user-certificate/J53251jpe8Ijn9gKm5e1" TargetMode="External"/><Relationship Id="rId765" Type="http://schemas.openxmlformats.org/officeDocument/2006/relationships/hyperlink" Target="https://talan.bank.gov.ua/get-user-certificate/J5325FUJpt2vkv5E99pd" TargetMode="External"/><Relationship Id="rId972" Type="http://schemas.openxmlformats.org/officeDocument/2006/relationships/hyperlink" Target="https://talan.bank.gov.ua/get-user-certificate/J5325gjzYfpPxB0hi51C" TargetMode="External"/><Relationship Id="rId1188" Type="http://schemas.openxmlformats.org/officeDocument/2006/relationships/hyperlink" Target="https://talan.bank.gov.ua/get-user-certificate/J5325KC-3dTsbzSZRcuV" TargetMode="External"/><Relationship Id="rId1395" Type="http://schemas.openxmlformats.org/officeDocument/2006/relationships/hyperlink" Target="https://talan.bank.gov.ua/get-user-certificate/J5325oj_HKGgtNviv9r1" TargetMode="External"/><Relationship Id="rId2239" Type="http://schemas.openxmlformats.org/officeDocument/2006/relationships/hyperlink" Target="https://talan.bank.gov.ua/get-user-certificate/J5325AkgXk_q5F9PmbcA" TargetMode="External"/><Relationship Id="rId2446" Type="http://schemas.openxmlformats.org/officeDocument/2006/relationships/hyperlink" Target="https://talan.bank.gov.ua/get-user-certificate/J5325R4KnMzivjI6YEb0" TargetMode="External"/><Relationship Id="rId2653" Type="http://schemas.openxmlformats.org/officeDocument/2006/relationships/hyperlink" Target="https://talan.bank.gov.ua/get-user-certificate/J5325h9ddFjaD6urzseV" TargetMode="External"/><Relationship Id="rId2860" Type="http://schemas.openxmlformats.org/officeDocument/2006/relationships/hyperlink" Target="https://talan.bank.gov.ua/get-user-certificate/J5325RxWcOp3J-bWaE3J" TargetMode="External"/><Relationship Id="rId3704" Type="http://schemas.openxmlformats.org/officeDocument/2006/relationships/hyperlink" Target="https://talan.bank.gov.ua/get-user-certificate/J5325hNM2SCnQBJqn_p2" TargetMode="External"/><Relationship Id="rId418" Type="http://schemas.openxmlformats.org/officeDocument/2006/relationships/hyperlink" Target="https://talan.bank.gov.ua/get-user-certificate/J5325bRNQUWW4dN6VyzT" TargetMode="External"/><Relationship Id="rId625" Type="http://schemas.openxmlformats.org/officeDocument/2006/relationships/hyperlink" Target="https://talan.bank.gov.ua/get-user-certificate/J5325osLh-zCWzjjwIfC" TargetMode="External"/><Relationship Id="rId832" Type="http://schemas.openxmlformats.org/officeDocument/2006/relationships/hyperlink" Target="https://talan.bank.gov.ua/get-user-certificate/J5325pRQby-IxamFP-7n" TargetMode="External"/><Relationship Id="rId1048" Type="http://schemas.openxmlformats.org/officeDocument/2006/relationships/hyperlink" Target="https://talan.bank.gov.ua/get-user-certificate/J5325CeJxsuryJd5_h2O" TargetMode="External"/><Relationship Id="rId1255" Type="http://schemas.openxmlformats.org/officeDocument/2006/relationships/hyperlink" Target="https://talan.bank.gov.ua/get-user-certificate/J5325-Lhdkoi_RkOuflP" TargetMode="External"/><Relationship Id="rId1462" Type="http://schemas.openxmlformats.org/officeDocument/2006/relationships/hyperlink" Target="https://talan.bank.gov.ua/get-user-certificate/J5325vDafJ-B7o7UdeYY" TargetMode="External"/><Relationship Id="rId2306" Type="http://schemas.openxmlformats.org/officeDocument/2006/relationships/hyperlink" Target="https://talan.bank.gov.ua/get-user-certificate/J53259NkUHGRFJNKnlrV" TargetMode="External"/><Relationship Id="rId2513" Type="http://schemas.openxmlformats.org/officeDocument/2006/relationships/hyperlink" Target="https://talan.bank.gov.ua/get-user-certificate/J5325oDymygqmzPyZr3o" TargetMode="External"/><Relationship Id="rId3911" Type="http://schemas.openxmlformats.org/officeDocument/2006/relationships/hyperlink" Target="https://talan.bank.gov.ua/get-user-certificate/J5325Bs8Mx24P-buVt-7" TargetMode="External"/><Relationship Id="rId1115" Type="http://schemas.openxmlformats.org/officeDocument/2006/relationships/hyperlink" Target="https://talan.bank.gov.ua/get-user-certificate/J5325H2KkvQbfNs6qkeu" TargetMode="External"/><Relationship Id="rId1322" Type="http://schemas.openxmlformats.org/officeDocument/2006/relationships/hyperlink" Target="https://talan.bank.gov.ua/get-user-certificate/J5325zvpRzaJ8VrGE9gf" TargetMode="External"/><Relationship Id="rId2720" Type="http://schemas.openxmlformats.org/officeDocument/2006/relationships/hyperlink" Target="https://talan.bank.gov.ua/get-user-certificate/J5325ZbkDXXAHa_3odmC" TargetMode="External"/><Relationship Id="rId3287" Type="http://schemas.openxmlformats.org/officeDocument/2006/relationships/hyperlink" Target="https://talan.bank.gov.ua/get-user-certificate/J5325AHcYNAfIBomERH5" TargetMode="External"/><Relationship Id="rId2096" Type="http://schemas.openxmlformats.org/officeDocument/2006/relationships/hyperlink" Target="https://talan.bank.gov.ua/get-user-certificate/J5325ks5-g8H7SJoNZE3" TargetMode="External"/><Relationship Id="rId3494" Type="http://schemas.openxmlformats.org/officeDocument/2006/relationships/hyperlink" Target="https://talan.bank.gov.ua/get-user-certificate/J5325BI2Sw3hkADIJJ6P" TargetMode="External"/><Relationship Id="rId3147" Type="http://schemas.openxmlformats.org/officeDocument/2006/relationships/hyperlink" Target="https://talan.bank.gov.ua/get-user-certificate/J5325768wUNpLdsK4VSu" TargetMode="External"/><Relationship Id="rId3354" Type="http://schemas.openxmlformats.org/officeDocument/2006/relationships/hyperlink" Target="https://talan.bank.gov.ua/get-user-certificate/J5325StmqI6J-ANFBr1C" TargetMode="External"/><Relationship Id="rId3561" Type="http://schemas.openxmlformats.org/officeDocument/2006/relationships/hyperlink" Target="https://talan.bank.gov.ua/get-user-certificate/J5325sFpoV3ZAGwyvqVA" TargetMode="External"/><Relationship Id="rId275" Type="http://schemas.openxmlformats.org/officeDocument/2006/relationships/hyperlink" Target="https://talan.bank.gov.ua/get-user-certificate/J5325I_mmOWJYulSXWCP" TargetMode="External"/><Relationship Id="rId482" Type="http://schemas.openxmlformats.org/officeDocument/2006/relationships/hyperlink" Target="https://talan.bank.gov.ua/get-user-certificate/J5325RItuZgNw4Ne90yQ" TargetMode="External"/><Relationship Id="rId2163" Type="http://schemas.openxmlformats.org/officeDocument/2006/relationships/hyperlink" Target="https://talan.bank.gov.ua/get-user-certificate/J5325ejLnL0Tmawnc7by" TargetMode="External"/><Relationship Id="rId2370" Type="http://schemas.openxmlformats.org/officeDocument/2006/relationships/hyperlink" Target="https://talan.bank.gov.ua/get-user-certificate/J5325Sh_98hqWZ0hmJMq" TargetMode="External"/><Relationship Id="rId3007" Type="http://schemas.openxmlformats.org/officeDocument/2006/relationships/hyperlink" Target="https://talan.bank.gov.ua/get-user-certificate/J5325Gn_xktFHoE-O8sY" TargetMode="External"/><Relationship Id="rId3214" Type="http://schemas.openxmlformats.org/officeDocument/2006/relationships/hyperlink" Target="https://talan.bank.gov.ua/get-user-certificate/J5325bqken3V9VkqSQ7N" TargetMode="External"/><Relationship Id="rId3421" Type="http://schemas.openxmlformats.org/officeDocument/2006/relationships/hyperlink" Target="https://talan.bank.gov.ua/get-user-certificate/J5325kII3glehNWeU023" TargetMode="External"/><Relationship Id="rId135" Type="http://schemas.openxmlformats.org/officeDocument/2006/relationships/hyperlink" Target="https://talan.bank.gov.ua/get-user-certificate/J5325rdqqcG9N4CNujvu" TargetMode="External"/><Relationship Id="rId342" Type="http://schemas.openxmlformats.org/officeDocument/2006/relationships/hyperlink" Target="https://talan.bank.gov.ua/get-user-certificate/J5325MRPSWeVjJRrV7KM" TargetMode="External"/><Relationship Id="rId2023" Type="http://schemas.openxmlformats.org/officeDocument/2006/relationships/hyperlink" Target="https://talan.bank.gov.ua/get-user-certificate/J53250jQBOR7LIBtbCyS" TargetMode="External"/><Relationship Id="rId2230" Type="http://schemas.openxmlformats.org/officeDocument/2006/relationships/hyperlink" Target="https://talan.bank.gov.ua/get-user-certificate/J5325FQLS8G4Aergtaqq" TargetMode="External"/><Relationship Id="rId202" Type="http://schemas.openxmlformats.org/officeDocument/2006/relationships/hyperlink" Target="https://talan.bank.gov.ua/get-user-certificate/J5325dIbZn5VYhqqWc9a" TargetMode="External"/><Relationship Id="rId4195" Type="http://schemas.openxmlformats.org/officeDocument/2006/relationships/hyperlink" Target="https://talan.bank.gov.ua/get-user-certificate/TbxZW0ME1dMYOclAr-Tq" TargetMode="External"/><Relationship Id="rId1789" Type="http://schemas.openxmlformats.org/officeDocument/2006/relationships/hyperlink" Target="https://talan.bank.gov.ua/get-user-certificate/J53250Bq41dQbMSSHVLc" TargetMode="External"/><Relationship Id="rId1996" Type="http://schemas.openxmlformats.org/officeDocument/2006/relationships/hyperlink" Target="https://talan.bank.gov.ua/get-user-certificate/J5325RNTlX3QrrDKyV2T" TargetMode="External"/><Relationship Id="rId4055" Type="http://schemas.openxmlformats.org/officeDocument/2006/relationships/hyperlink" Target="https://talan.bank.gov.ua/get-user-certificate/J5325VaprBjXtgVtX2NW" TargetMode="External"/><Relationship Id="rId1649" Type="http://schemas.openxmlformats.org/officeDocument/2006/relationships/hyperlink" Target="https://talan.bank.gov.ua/get-user-certificate/J53250Pdbfisk4XpkMvB" TargetMode="External"/><Relationship Id="rId1856" Type="http://schemas.openxmlformats.org/officeDocument/2006/relationships/hyperlink" Target="https://talan.bank.gov.ua/get-user-certificate/J5325SwQayyP_7jxk2z7" TargetMode="External"/><Relationship Id="rId2907" Type="http://schemas.openxmlformats.org/officeDocument/2006/relationships/hyperlink" Target="https://talan.bank.gov.ua/get-user-certificate/J5325_yytk1qsURWAASz" TargetMode="External"/><Relationship Id="rId3071" Type="http://schemas.openxmlformats.org/officeDocument/2006/relationships/hyperlink" Target="https://talan.bank.gov.ua/get-user-certificate/J5325hTxTocnmLPem4tL" TargetMode="External"/><Relationship Id="rId1509" Type="http://schemas.openxmlformats.org/officeDocument/2006/relationships/hyperlink" Target="https://talan.bank.gov.ua/get-user-certificate/J5325ltIc8XnjoDY2pDI" TargetMode="External"/><Relationship Id="rId1716" Type="http://schemas.openxmlformats.org/officeDocument/2006/relationships/hyperlink" Target="https://talan.bank.gov.ua/get-user-certificate/J5325W28PVL_yyiryUb4" TargetMode="External"/><Relationship Id="rId1923" Type="http://schemas.openxmlformats.org/officeDocument/2006/relationships/hyperlink" Target="https://talan.bank.gov.ua/get-user-certificate/J5325zOCpO5QJAxVc_hF" TargetMode="External"/><Relationship Id="rId4122" Type="http://schemas.openxmlformats.org/officeDocument/2006/relationships/hyperlink" Target="https://talan.bank.gov.ua/get-user-certificate/J5325BqpHGJcM5sBjJxb" TargetMode="External"/><Relationship Id="rId3888" Type="http://schemas.openxmlformats.org/officeDocument/2006/relationships/hyperlink" Target="https://talan.bank.gov.ua/get-user-certificate/J53256eV3q1kPRUdLvrG" TargetMode="External"/><Relationship Id="rId2697" Type="http://schemas.openxmlformats.org/officeDocument/2006/relationships/hyperlink" Target="https://talan.bank.gov.ua/get-user-certificate/J5325CjuF59iU-XrU5xT" TargetMode="External"/><Relationship Id="rId3748" Type="http://schemas.openxmlformats.org/officeDocument/2006/relationships/hyperlink" Target="https://talan.bank.gov.ua/get-user-certificate/J5325X7c8IhdaKJwVMNL" TargetMode="External"/><Relationship Id="rId669" Type="http://schemas.openxmlformats.org/officeDocument/2006/relationships/hyperlink" Target="https://talan.bank.gov.ua/get-user-certificate/J5325vfSovj5H6LVpIYz" TargetMode="External"/><Relationship Id="rId876" Type="http://schemas.openxmlformats.org/officeDocument/2006/relationships/hyperlink" Target="https://talan.bank.gov.ua/get-user-certificate/J5325nE_EFzhwGy7VoHx" TargetMode="External"/><Relationship Id="rId1299" Type="http://schemas.openxmlformats.org/officeDocument/2006/relationships/hyperlink" Target="https://talan.bank.gov.ua/get-user-certificate/J5325xRyJUPI-PPV1pmb" TargetMode="External"/><Relationship Id="rId2557" Type="http://schemas.openxmlformats.org/officeDocument/2006/relationships/hyperlink" Target="https://talan.bank.gov.ua/get-user-certificate/J5325jjgbnY9qDRqP_6j" TargetMode="External"/><Relationship Id="rId3608" Type="http://schemas.openxmlformats.org/officeDocument/2006/relationships/hyperlink" Target="https://talan.bank.gov.ua/get-user-certificate/J53259vrTpPd0Zv-DeXd" TargetMode="External"/><Relationship Id="rId3955" Type="http://schemas.openxmlformats.org/officeDocument/2006/relationships/hyperlink" Target="https://talan.bank.gov.ua/get-user-certificate/J5325A87rmxPHn7xGak7" TargetMode="External"/><Relationship Id="rId529" Type="http://schemas.openxmlformats.org/officeDocument/2006/relationships/hyperlink" Target="https://talan.bank.gov.ua/get-user-certificate/J53255sOerdzrDaicuP6" TargetMode="External"/><Relationship Id="rId736" Type="http://schemas.openxmlformats.org/officeDocument/2006/relationships/hyperlink" Target="https://talan.bank.gov.ua/get-user-certificate/J5325tyuqcPLNl6WFvqm" TargetMode="External"/><Relationship Id="rId1159" Type="http://schemas.openxmlformats.org/officeDocument/2006/relationships/hyperlink" Target="https://talan.bank.gov.ua/get-user-certificate/J5325GLjvSXSLpi_LSNc" TargetMode="External"/><Relationship Id="rId1366" Type="http://schemas.openxmlformats.org/officeDocument/2006/relationships/hyperlink" Target="https://talan.bank.gov.ua/get-user-certificate/J5325HOGkFVMAyedyhpx" TargetMode="External"/><Relationship Id="rId2417" Type="http://schemas.openxmlformats.org/officeDocument/2006/relationships/hyperlink" Target="https://talan.bank.gov.ua/get-user-certificate/J5325HXI8hdZEjOYCdtq" TargetMode="External"/><Relationship Id="rId2764" Type="http://schemas.openxmlformats.org/officeDocument/2006/relationships/hyperlink" Target="https://talan.bank.gov.ua/get-user-certificate/J5325BFZCQWColKE8d3f" TargetMode="External"/><Relationship Id="rId2971" Type="http://schemas.openxmlformats.org/officeDocument/2006/relationships/hyperlink" Target="https://talan.bank.gov.ua/get-user-certificate/J5325GMdjuHRxi8i1Dq9" TargetMode="External"/><Relationship Id="rId3815" Type="http://schemas.openxmlformats.org/officeDocument/2006/relationships/hyperlink" Target="https://talan.bank.gov.ua/get-user-certificate/J5325EZEpPXn3jKY1KgJ" TargetMode="External"/><Relationship Id="rId943" Type="http://schemas.openxmlformats.org/officeDocument/2006/relationships/hyperlink" Target="https://talan.bank.gov.ua/get-user-certificate/J5325m2gKPAHrnA2YMCl" TargetMode="External"/><Relationship Id="rId1019" Type="http://schemas.openxmlformats.org/officeDocument/2006/relationships/hyperlink" Target="https://talan.bank.gov.ua/get-user-certificate/J5325BLcISW8VmFlnXLd" TargetMode="External"/><Relationship Id="rId1573" Type="http://schemas.openxmlformats.org/officeDocument/2006/relationships/hyperlink" Target="https://talan.bank.gov.ua/get-user-certificate/J5325hDaXZ_miF2UAWf9" TargetMode="External"/><Relationship Id="rId1780" Type="http://schemas.openxmlformats.org/officeDocument/2006/relationships/hyperlink" Target="https://talan.bank.gov.ua/get-user-certificate/J53252w4pn9DCCk_5_XR" TargetMode="External"/><Relationship Id="rId2624" Type="http://schemas.openxmlformats.org/officeDocument/2006/relationships/hyperlink" Target="https://talan.bank.gov.ua/get-user-certificate/J5325wJigl9D9eXEjo4Q" TargetMode="External"/><Relationship Id="rId2831" Type="http://schemas.openxmlformats.org/officeDocument/2006/relationships/hyperlink" Target="https://talan.bank.gov.ua/get-user-certificate/J5325xB6Vsb010U0EMxi" TargetMode="External"/><Relationship Id="rId72" Type="http://schemas.openxmlformats.org/officeDocument/2006/relationships/hyperlink" Target="https://talan.bank.gov.ua/get-user-certificate/J5325HBHjxpSNtIfWQNT" TargetMode="External"/><Relationship Id="rId803" Type="http://schemas.openxmlformats.org/officeDocument/2006/relationships/hyperlink" Target="https://talan.bank.gov.ua/get-user-certificate/J5325Ftb0h48p94sIytU" TargetMode="External"/><Relationship Id="rId1226" Type="http://schemas.openxmlformats.org/officeDocument/2006/relationships/hyperlink" Target="https://talan.bank.gov.ua/get-user-certificate/J5325Epk7zIIJUl79fn-" TargetMode="External"/><Relationship Id="rId1433" Type="http://schemas.openxmlformats.org/officeDocument/2006/relationships/hyperlink" Target="https://talan.bank.gov.ua/get-user-certificate/J5325BLNKb40MLvMRHn1" TargetMode="External"/><Relationship Id="rId1640" Type="http://schemas.openxmlformats.org/officeDocument/2006/relationships/hyperlink" Target="https://talan.bank.gov.ua/get-user-certificate/J5325gnpoJFF-ltlM1g0" TargetMode="External"/><Relationship Id="rId1500" Type="http://schemas.openxmlformats.org/officeDocument/2006/relationships/hyperlink" Target="https://talan.bank.gov.ua/get-user-certificate/J5325Gj1k9kcVGZZHfk1" TargetMode="External"/><Relationship Id="rId3398" Type="http://schemas.openxmlformats.org/officeDocument/2006/relationships/hyperlink" Target="https://talan.bank.gov.ua/get-user-certificate/J5325O96Xoy793QAXFR6" TargetMode="External"/><Relationship Id="rId3258" Type="http://schemas.openxmlformats.org/officeDocument/2006/relationships/hyperlink" Target="https://talan.bank.gov.ua/get-user-certificate/J5325Ofo9XwjxxQ0h7G7" TargetMode="External"/><Relationship Id="rId3465" Type="http://schemas.openxmlformats.org/officeDocument/2006/relationships/hyperlink" Target="https://talan.bank.gov.ua/get-user-certificate/J5325oN47o9eBl125Ul1" TargetMode="External"/><Relationship Id="rId3672" Type="http://schemas.openxmlformats.org/officeDocument/2006/relationships/hyperlink" Target="https://talan.bank.gov.ua/get-user-certificate/J5325CJy6UzVUjD4Wx_a" TargetMode="External"/><Relationship Id="rId179" Type="http://schemas.openxmlformats.org/officeDocument/2006/relationships/hyperlink" Target="https://talan.bank.gov.ua/get-user-certificate/J53258s2OCt35cU38Lxy" TargetMode="External"/><Relationship Id="rId386" Type="http://schemas.openxmlformats.org/officeDocument/2006/relationships/hyperlink" Target="https://talan.bank.gov.ua/get-user-certificate/J5325xoiUcEG-9Cb_xLv" TargetMode="External"/><Relationship Id="rId593" Type="http://schemas.openxmlformats.org/officeDocument/2006/relationships/hyperlink" Target="https://talan.bank.gov.ua/get-user-certificate/J53253N6-UEfwQ-UyCcg" TargetMode="External"/><Relationship Id="rId2067" Type="http://schemas.openxmlformats.org/officeDocument/2006/relationships/hyperlink" Target="https://talan.bank.gov.ua/get-user-certificate/J5325GFQG_UKpkybOSNB" TargetMode="External"/><Relationship Id="rId2274" Type="http://schemas.openxmlformats.org/officeDocument/2006/relationships/hyperlink" Target="https://talan.bank.gov.ua/get-user-certificate/J5325LD8wJh5KqOjVx7D" TargetMode="External"/><Relationship Id="rId2481" Type="http://schemas.openxmlformats.org/officeDocument/2006/relationships/hyperlink" Target="https://talan.bank.gov.ua/get-user-certificate/J53250kcRkFeeBU2hkGN" TargetMode="External"/><Relationship Id="rId3118" Type="http://schemas.openxmlformats.org/officeDocument/2006/relationships/hyperlink" Target="https://talan.bank.gov.ua/get-user-certificate/J5325i5cj3YBZ1mrCmxX" TargetMode="External"/><Relationship Id="rId3325" Type="http://schemas.openxmlformats.org/officeDocument/2006/relationships/hyperlink" Target="https://talan.bank.gov.ua/get-user-certificate/J5325PMJJdD1ZEqMRut5" TargetMode="External"/><Relationship Id="rId3532" Type="http://schemas.openxmlformats.org/officeDocument/2006/relationships/hyperlink" Target="https://talan.bank.gov.ua/get-user-certificate/J5325Vg_9UOQ3A4ipr2B" TargetMode="External"/><Relationship Id="rId246" Type="http://schemas.openxmlformats.org/officeDocument/2006/relationships/hyperlink" Target="https://talan.bank.gov.ua/get-user-certificate/J5325n-4jr7ZQR9mKfPF" TargetMode="External"/><Relationship Id="rId453" Type="http://schemas.openxmlformats.org/officeDocument/2006/relationships/hyperlink" Target="https://talan.bank.gov.ua/get-user-certificate/J5325umqBQJYI_Bw2GCC" TargetMode="External"/><Relationship Id="rId660" Type="http://schemas.openxmlformats.org/officeDocument/2006/relationships/hyperlink" Target="https://talan.bank.gov.ua/get-user-certificate/J53255jkRvoM5hkxo3W5" TargetMode="External"/><Relationship Id="rId1083" Type="http://schemas.openxmlformats.org/officeDocument/2006/relationships/hyperlink" Target="https://talan.bank.gov.ua/get-user-certificate/J5325TLO2qKwLpOJ0_Vk" TargetMode="External"/><Relationship Id="rId1290" Type="http://schemas.openxmlformats.org/officeDocument/2006/relationships/hyperlink" Target="https://talan.bank.gov.ua/get-user-certificate/J5325wOFeRxqs0Zbpywv" TargetMode="External"/><Relationship Id="rId2134" Type="http://schemas.openxmlformats.org/officeDocument/2006/relationships/hyperlink" Target="https://talan.bank.gov.ua/get-user-certificate/J5325HnW5duYl5O42zat" TargetMode="External"/><Relationship Id="rId2341" Type="http://schemas.openxmlformats.org/officeDocument/2006/relationships/hyperlink" Target="https://talan.bank.gov.ua/get-user-certificate/J5325cePYYX37Jx_qXjV" TargetMode="External"/><Relationship Id="rId106" Type="http://schemas.openxmlformats.org/officeDocument/2006/relationships/hyperlink" Target="https://talan.bank.gov.ua/get-user-certificate/J5325qbiqbSnFldcPUDG" TargetMode="External"/><Relationship Id="rId313" Type="http://schemas.openxmlformats.org/officeDocument/2006/relationships/hyperlink" Target="https://talan.bank.gov.ua/get-user-certificate/J5325UFyTPVSk3-MKt6p" TargetMode="External"/><Relationship Id="rId1150" Type="http://schemas.openxmlformats.org/officeDocument/2006/relationships/hyperlink" Target="https://talan.bank.gov.ua/get-user-certificate/J5325q-3V39zl9QRu2ms" TargetMode="External"/><Relationship Id="rId4099" Type="http://schemas.openxmlformats.org/officeDocument/2006/relationships/hyperlink" Target="https://talan.bank.gov.ua/get-user-certificate/J5325xSRJOfyHg_WmSg0" TargetMode="External"/><Relationship Id="rId520" Type="http://schemas.openxmlformats.org/officeDocument/2006/relationships/hyperlink" Target="https://talan.bank.gov.ua/get-user-certificate/J5325PQ5iADluQS3Pv5n" TargetMode="External"/><Relationship Id="rId2201" Type="http://schemas.openxmlformats.org/officeDocument/2006/relationships/hyperlink" Target="https://talan.bank.gov.ua/get-user-certificate/J5325EgNMD8A79Actlw1" TargetMode="External"/><Relationship Id="rId1010" Type="http://schemas.openxmlformats.org/officeDocument/2006/relationships/hyperlink" Target="https://talan.bank.gov.ua/get-user-certificate/J53253MZd-at-t55KmlC" TargetMode="External"/><Relationship Id="rId1967" Type="http://schemas.openxmlformats.org/officeDocument/2006/relationships/hyperlink" Target="https://talan.bank.gov.ua/get-user-certificate/J5325Jnx7jp8Fc2PMVXk" TargetMode="External"/><Relationship Id="rId4166" Type="http://schemas.openxmlformats.org/officeDocument/2006/relationships/hyperlink" Target="https://talan.bank.gov.ua/get-user-certificate/J53253vKNZ-_SvZIlVEF" TargetMode="External"/><Relationship Id="rId4026" Type="http://schemas.openxmlformats.org/officeDocument/2006/relationships/hyperlink" Target="https://talan.bank.gov.ua/get-user-certificate/J5325wSJ0o2e7c359-Vs" TargetMode="External"/><Relationship Id="rId3042" Type="http://schemas.openxmlformats.org/officeDocument/2006/relationships/hyperlink" Target="https://talan.bank.gov.ua/get-user-certificate/J5325Lg6MGGiwBlW7oBO" TargetMode="External"/><Relationship Id="rId3859" Type="http://schemas.openxmlformats.org/officeDocument/2006/relationships/hyperlink" Target="https://talan.bank.gov.ua/get-user-certificate/J5325hnUV8wL4syiHzXm" TargetMode="External"/><Relationship Id="rId2875" Type="http://schemas.openxmlformats.org/officeDocument/2006/relationships/hyperlink" Target="https://talan.bank.gov.ua/get-user-certificate/J5325PFVvQgo__pDtB59" TargetMode="External"/><Relationship Id="rId3926" Type="http://schemas.openxmlformats.org/officeDocument/2006/relationships/hyperlink" Target="https://talan.bank.gov.ua/get-user-certificate/J5325nrtab2LnNGtaPPP" TargetMode="External"/><Relationship Id="rId847" Type="http://schemas.openxmlformats.org/officeDocument/2006/relationships/hyperlink" Target="https://talan.bank.gov.ua/get-user-certificate/J5325Qt0rcdmbCMNUwKP" TargetMode="External"/><Relationship Id="rId1477" Type="http://schemas.openxmlformats.org/officeDocument/2006/relationships/hyperlink" Target="https://talan.bank.gov.ua/get-user-certificate/J5325h99pJ2cT_cf-Qxk" TargetMode="External"/><Relationship Id="rId1891" Type="http://schemas.openxmlformats.org/officeDocument/2006/relationships/hyperlink" Target="https://talan.bank.gov.ua/get-user-certificate/J5325OcWpRLZX2cAaQoq" TargetMode="External"/><Relationship Id="rId2528" Type="http://schemas.openxmlformats.org/officeDocument/2006/relationships/hyperlink" Target="https://talan.bank.gov.ua/get-user-certificate/J5325waXlMoNGYmcJfdn" TargetMode="External"/><Relationship Id="rId2942" Type="http://schemas.openxmlformats.org/officeDocument/2006/relationships/hyperlink" Target="https://talan.bank.gov.ua/get-user-certificate/J5325ygJD7ZjPWIcbOtX" TargetMode="External"/><Relationship Id="rId914" Type="http://schemas.openxmlformats.org/officeDocument/2006/relationships/hyperlink" Target="https://talan.bank.gov.ua/get-user-certificate/J532583pf8QkUWGguf_r" TargetMode="External"/><Relationship Id="rId1544" Type="http://schemas.openxmlformats.org/officeDocument/2006/relationships/hyperlink" Target="https://talan.bank.gov.ua/get-user-certificate/J5325FqDQk3AL-y51_LV" TargetMode="External"/><Relationship Id="rId1611" Type="http://schemas.openxmlformats.org/officeDocument/2006/relationships/hyperlink" Target="https://talan.bank.gov.ua/get-user-certificate/J5325QgzkuZhPvwoEcbX" TargetMode="External"/><Relationship Id="rId3369" Type="http://schemas.openxmlformats.org/officeDocument/2006/relationships/hyperlink" Target="https://talan.bank.gov.ua/get-user-certificate/J53252yEkdJ8QobOxXhD" TargetMode="External"/><Relationship Id="rId2385" Type="http://schemas.openxmlformats.org/officeDocument/2006/relationships/hyperlink" Target="https://talan.bank.gov.ua/get-user-certificate/J5325ggrlDqtaqF2E5iQ" TargetMode="External"/><Relationship Id="rId3783" Type="http://schemas.openxmlformats.org/officeDocument/2006/relationships/hyperlink" Target="https://talan.bank.gov.ua/get-user-certificate/J5325khg4EShjcVnFTiD" TargetMode="External"/><Relationship Id="rId357" Type="http://schemas.openxmlformats.org/officeDocument/2006/relationships/hyperlink" Target="https://talan.bank.gov.ua/get-user-certificate/J5325-6MjYYWfj_G9VKV" TargetMode="External"/><Relationship Id="rId2038" Type="http://schemas.openxmlformats.org/officeDocument/2006/relationships/hyperlink" Target="https://talan.bank.gov.ua/get-user-certificate/J5325hL2R5hXRTYn0Gim" TargetMode="External"/><Relationship Id="rId3436" Type="http://schemas.openxmlformats.org/officeDocument/2006/relationships/hyperlink" Target="https://talan.bank.gov.ua/get-user-certificate/J5325x-CXyU5Pq95KmES" TargetMode="External"/><Relationship Id="rId3850" Type="http://schemas.openxmlformats.org/officeDocument/2006/relationships/hyperlink" Target="https://talan.bank.gov.ua/get-user-certificate/J5325agetB4rB0o81caD" TargetMode="External"/><Relationship Id="rId771" Type="http://schemas.openxmlformats.org/officeDocument/2006/relationships/hyperlink" Target="https://talan.bank.gov.ua/get-user-certificate/J532584n6WFAsxMUkn_K" TargetMode="External"/><Relationship Id="rId2452" Type="http://schemas.openxmlformats.org/officeDocument/2006/relationships/hyperlink" Target="https://talan.bank.gov.ua/get-user-certificate/J5325UvcJUUdVKlKE4HI" TargetMode="External"/><Relationship Id="rId3503" Type="http://schemas.openxmlformats.org/officeDocument/2006/relationships/hyperlink" Target="https://talan.bank.gov.ua/get-user-certificate/J5325RGmkyI4w2T6LySp" TargetMode="External"/><Relationship Id="rId424" Type="http://schemas.openxmlformats.org/officeDocument/2006/relationships/hyperlink" Target="https://talan.bank.gov.ua/get-user-certificate/J5325VrApEWzVOOi27FM" TargetMode="External"/><Relationship Id="rId1054" Type="http://schemas.openxmlformats.org/officeDocument/2006/relationships/hyperlink" Target="https://talan.bank.gov.ua/get-user-certificate/J5325Cd3h3_csq2ARjP7" TargetMode="External"/><Relationship Id="rId2105" Type="http://schemas.openxmlformats.org/officeDocument/2006/relationships/hyperlink" Target="https://talan.bank.gov.ua/get-user-certificate/J5325_Lnf3nq-Tfz34GP" TargetMode="External"/><Relationship Id="rId1121" Type="http://schemas.openxmlformats.org/officeDocument/2006/relationships/hyperlink" Target="https://talan.bank.gov.ua/get-user-certificate/J53259tC-yQHzRHRfq34" TargetMode="External"/><Relationship Id="rId3293" Type="http://schemas.openxmlformats.org/officeDocument/2006/relationships/hyperlink" Target="https://talan.bank.gov.ua/get-user-certificate/J53253iOpYd-mH9nHmJr" TargetMode="External"/><Relationship Id="rId1938" Type="http://schemas.openxmlformats.org/officeDocument/2006/relationships/hyperlink" Target="https://talan.bank.gov.ua/get-user-certificate/J5325DBdBGjDLy99JwQ4" TargetMode="External"/><Relationship Id="rId3360" Type="http://schemas.openxmlformats.org/officeDocument/2006/relationships/hyperlink" Target="https://talan.bank.gov.ua/get-user-certificate/J5325LcUBU_QiFISBp_a" TargetMode="External"/><Relationship Id="rId281" Type="http://schemas.openxmlformats.org/officeDocument/2006/relationships/hyperlink" Target="https://talan.bank.gov.ua/get-user-certificate/J5325PnxVO1DUuL9a5tP" TargetMode="External"/><Relationship Id="rId3013" Type="http://schemas.openxmlformats.org/officeDocument/2006/relationships/hyperlink" Target="https://talan.bank.gov.ua/get-user-certificate/J5325cFS0YCRiEjSEiBB" TargetMode="External"/><Relationship Id="rId2779" Type="http://schemas.openxmlformats.org/officeDocument/2006/relationships/hyperlink" Target="https://talan.bank.gov.ua/get-user-certificate/J5325D_ODSRBg4VOms5G" TargetMode="External"/><Relationship Id="rId1795" Type="http://schemas.openxmlformats.org/officeDocument/2006/relationships/hyperlink" Target="https://talan.bank.gov.ua/get-user-certificate/J5325Got2pbeqQ1bJKdS" TargetMode="External"/><Relationship Id="rId2846" Type="http://schemas.openxmlformats.org/officeDocument/2006/relationships/hyperlink" Target="https://talan.bank.gov.ua/get-user-certificate/J5325ZR0YyNS_XifyS50" TargetMode="External"/><Relationship Id="rId87" Type="http://schemas.openxmlformats.org/officeDocument/2006/relationships/hyperlink" Target="https://talan.bank.gov.ua/get-user-certificate/J5325pQwmB0RcZVXnR2L" TargetMode="External"/><Relationship Id="rId818" Type="http://schemas.openxmlformats.org/officeDocument/2006/relationships/hyperlink" Target="https://talan.bank.gov.ua/get-user-certificate/J5325CbrvrV-TJS8PToE" TargetMode="External"/><Relationship Id="rId1448" Type="http://schemas.openxmlformats.org/officeDocument/2006/relationships/hyperlink" Target="https://talan.bank.gov.ua/get-user-certificate/J5325zzdEelGbT1H18b6" TargetMode="External"/><Relationship Id="rId1862" Type="http://schemas.openxmlformats.org/officeDocument/2006/relationships/hyperlink" Target="https://talan.bank.gov.ua/get-user-certificate/J5325q1Hn3Y2XVEVbGvr" TargetMode="External"/><Relationship Id="rId2913" Type="http://schemas.openxmlformats.org/officeDocument/2006/relationships/hyperlink" Target="https://talan.bank.gov.ua/get-user-certificate/J5325pic6M1s8CWD1Lwz" TargetMode="External"/><Relationship Id="rId1515" Type="http://schemas.openxmlformats.org/officeDocument/2006/relationships/hyperlink" Target="https://talan.bank.gov.ua/get-user-certificate/J5325owQrJbjAhmHpIir" TargetMode="External"/><Relationship Id="rId3687" Type="http://schemas.openxmlformats.org/officeDocument/2006/relationships/hyperlink" Target="https://talan.bank.gov.ua/get-user-certificate/J5325z_ffrr3zR24hUvm" TargetMode="External"/><Relationship Id="rId2289" Type="http://schemas.openxmlformats.org/officeDocument/2006/relationships/hyperlink" Target="https://talan.bank.gov.ua/get-user-certificate/J5325l4Ey5r1xDvU9y8j" TargetMode="External"/><Relationship Id="rId3754" Type="http://schemas.openxmlformats.org/officeDocument/2006/relationships/hyperlink" Target="https://talan.bank.gov.ua/get-user-certificate/J5325kKgVtRHw50c4U0Z" TargetMode="External"/><Relationship Id="rId675" Type="http://schemas.openxmlformats.org/officeDocument/2006/relationships/hyperlink" Target="https://talan.bank.gov.ua/get-user-certificate/J5325z2GGA5uB2aP-0os" TargetMode="External"/><Relationship Id="rId2356" Type="http://schemas.openxmlformats.org/officeDocument/2006/relationships/hyperlink" Target="https://talan.bank.gov.ua/get-user-certificate/J5325qVwN8Z_mgXtJn0E" TargetMode="External"/><Relationship Id="rId2770" Type="http://schemas.openxmlformats.org/officeDocument/2006/relationships/hyperlink" Target="https://talan.bank.gov.ua/get-user-certificate/J5325JETRvWGC53gFqUk" TargetMode="External"/><Relationship Id="rId3407" Type="http://schemas.openxmlformats.org/officeDocument/2006/relationships/hyperlink" Target="https://talan.bank.gov.ua/get-user-certificate/J5325LdUBvOqO9YJSjgV" TargetMode="External"/><Relationship Id="rId3821" Type="http://schemas.openxmlformats.org/officeDocument/2006/relationships/hyperlink" Target="https://talan.bank.gov.ua/get-user-certificate/J5325hYBlFhg31GpVB9s" TargetMode="External"/><Relationship Id="rId328" Type="http://schemas.openxmlformats.org/officeDocument/2006/relationships/hyperlink" Target="https://talan.bank.gov.ua/get-user-certificate/J5325jGJ1IHCSLQQ5N7V" TargetMode="External"/><Relationship Id="rId742" Type="http://schemas.openxmlformats.org/officeDocument/2006/relationships/hyperlink" Target="https://talan.bank.gov.ua/get-user-certificate/J5325f1Leg1oIT-UVw03" TargetMode="External"/><Relationship Id="rId1372" Type="http://schemas.openxmlformats.org/officeDocument/2006/relationships/hyperlink" Target="https://talan.bank.gov.ua/get-user-certificate/J5325qR6fysE9GSp-TQO" TargetMode="External"/><Relationship Id="rId2009" Type="http://schemas.openxmlformats.org/officeDocument/2006/relationships/hyperlink" Target="https://talan.bank.gov.ua/get-user-certificate/J5325xcudw-_4bZYNHOy" TargetMode="External"/><Relationship Id="rId2423" Type="http://schemas.openxmlformats.org/officeDocument/2006/relationships/hyperlink" Target="https://talan.bank.gov.ua/get-user-certificate/J5325MW6GCY55Gp7CImP" TargetMode="External"/><Relationship Id="rId1025" Type="http://schemas.openxmlformats.org/officeDocument/2006/relationships/hyperlink" Target="https://talan.bank.gov.ua/get-user-certificate/J5325bXcKXIqQwEpwCp2" TargetMode="External"/><Relationship Id="rId3197" Type="http://schemas.openxmlformats.org/officeDocument/2006/relationships/hyperlink" Target="https://talan.bank.gov.ua/get-user-certificate/J5325Qn6QqLMPN46TSlr" TargetMode="External"/><Relationship Id="rId4248" Type="http://schemas.openxmlformats.org/officeDocument/2006/relationships/hyperlink" Target="https://talan.bank.gov.ua/get-user-certificate/CYWPHMT0VF1yP0VY_gLE" TargetMode="External"/><Relationship Id="rId185" Type="http://schemas.openxmlformats.org/officeDocument/2006/relationships/hyperlink" Target="https://talan.bank.gov.ua/get-user-certificate/J5325YEh1MmkfbjDsWO9" TargetMode="External"/><Relationship Id="rId1909" Type="http://schemas.openxmlformats.org/officeDocument/2006/relationships/hyperlink" Target="https://talan.bank.gov.ua/get-user-certificate/J5325xzftQHWXtlqpuAH" TargetMode="External"/><Relationship Id="rId3264" Type="http://schemas.openxmlformats.org/officeDocument/2006/relationships/hyperlink" Target="https://talan.bank.gov.ua/get-user-certificate/J5325P7keZxcLvdK8H9Q" TargetMode="External"/><Relationship Id="rId2280" Type="http://schemas.openxmlformats.org/officeDocument/2006/relationships/hyperlink" Target="https://talan.bank.gov.ua/get-user-certificate/J5325cGOEBLCjaYCNYir" TargetMode="External"/><Relationship Id="rId3331" Type="http://schemas.openxmlformats.org/officeDocument/2006/relationships/hyperlink" Target="https://talan.bank.gov.ua/get-user-certificate/J5325HKT_E7ZWfAuF3jC" TargetMode="External"/><Relationship Id="rId252" Type="http://schemas.openxmlformats.org/officeDocument/2006/relationships/hyperlink" Target="https://talan.bank.gov.ua/get-user-certificate/J53254KTn42xxgnJNyML" TargetMode="External"/><Relationship Id="rId1699" Type="http://schemas.openxmlformats.org/officeDocument/2006/relationships/hyperlink" Target="https://talan.bank.gov.ua/get-user-certificate/J5325QW7fSBtRuORfWuU" TargetMode="External"/><Relationship Id="rId2000" Type="http://schemas.openxmlformats.org/officeDocument/2006/relationships/hyperlink" Target="https://talan.bank.gov.ua/get-user-certificate/J5325xhX8JRvNlun4BrR" TargetMode="External"/><Relationship Id="rId4172" Type="http://schemas.openxmlformats.org/officeDocument/2006/relationships/hyperlink" Target="https://talan.bank.gov.ua/get-user-certificate/TbxZWcG4CSLiR2O9STPO" TargetMode="External"/><Relationship Id="rId1766" Type="http://schemas.openxmlformats.org/officeDocument/2006/relationships/hyperlink" Target="https://talan.bank.gov.ua/get-user-certificate/J5325Na6wwJWR_ULQAk6" TargetMode="External"/><Relationship Id="rId2817" Type="http://schemas.openxmlformats.org/officeDocument/2006/relationships/hyperlink" Target="https://talan.bank.gov.ua/get-user-certificate/J5325k7QyDeHi2FALG7T" TargetMode="External"/><Relationship Id="rId58" Type="http://schemas.openxmlformats.org/officeDocument/2006/relationships/hyperlink" Target="https://talan.bank.gov.ua/get-user-certificate/J5325KGAPr2wfVhhzS83" TargetMode="External"/><Relationship Id="rId1419" Type="http://schemas.openxmlformats.org/officeDocument/2006/relationships/hyperlink" Target="https://talan.bank.gov.ua/get-user-certificate/J5325B-Plm9YAX0vBKnD" TargetMode="External"/><Relationship Id="rId1833" Type="http://schemas.openxmlformats.org/officeDocument/2006/relationships/hyperlink" Target="https://talan.bank.gov.ua/get-user-certificate/J53254q6L4nrtMNWJKCl" TargetMode="External"/><Relationship Id="rId1900" Type="http://schemas.openxmlformats.org/officeDocument/2006/relationships/hyperlink" Target="https://talan.bank.gov.ua/get-user-certificate/J5325GyxBlXiBPm7q54E" TargetMode="External"/><Relationship Id="rId3658" Type="http://schemas.openxmlformats.org/officeDocument/2006/relationships/hyperlink" Target="https://talan.bank.gov.ua/get-user-certificate/J5325PZzYSizH5orVYFK" TargetMode="External"/><Relationship Id="rId579" Type="http://schemas.openxmlformats.org/officeDocument/2006/relationships/hyperlink" Target="https://talan.bank.gov.ua/get-user-certificate/J5325Z3FQW0TsD-IT5CR" TargetMode="External"/><Relationship Id="rId993" Type="http://schemas.openxmlformats.org/officeDocument/2006/relationships/hyperlink" Target="https://talan.bank.gov.ua/get-user-certificate/J5325vO-5uavnG7seWK1" TargetMode="External"/><Relationship Id="rId2674" Type="http://schemas.openxmlformats.org/officeDocument/2006/relationships/hyperlink" Target="https://talan.bank.gov.ua/get-user-certificate/J5325qDx8B-Fe7kGLYoC" TargetMode="External"/><Relationship Id="rId646" Type="http://schemas.openxmlformats.org/officeDocument/2006/relationships/hyperlink" Target="https://talan.bank.gov.ua/get-user-certificate/J5325scr33hsvHGHjgFR" TargetMode="External"/><Relationship Id="rId1276" Type="http://schemas.openxmlformats.org/officeDocument/2006/relationships/hyperlink" Target="https://talan.bank.gov.ua/get-user-certificate/J5325omw_uBubx43Kzcr" TargetMode="External"/><Relationship Id="rId2327" Type="http://schemas.openxmlformats.org/officeDocument/2006/relationships/hyperlink" Target="https://talan.bank.gov.ua/get-user-certificate/J5325FBKPffALVs_BDam" TargetMode="External"/><Relationship Id="rId3725" Type="http://schemas.openxmlformats.org/officeDocument/2006/relationships/hyperlink" Target="https://talan.bank.gov.ua/get-user-certificate/J5325QqAx7CZCRgz0qnb" TargetMode="External"/><Relationship Id="rId1690" Type="http://schemas.openxmlformats.org/officeDocument/2006/relationships/hyperlink" Target="https://talan.bank.gov.ua/get-user-certificate/J5325q7c4fBvQLZ_PZZE" TargetMode="External"/><Relationship Id="rId2741" Type="http://schemas.openxmlformats.org/officeDocument/2006/relationships/hyperlink" Target="https://talan.bank.gov.ua/get-user-certificate/J5325x2DGWaySaQUXkk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61"/>
  <sheetViews>
    <sheetView tabSelected="1" topLeftCell="A4244" workbookViewId="0">
      <selection activeCell="B4228" sqref="B4228:B4261"/>
    </sheetView>
  </sheetViews>
  <sheetFormatPr defaultRowHeight="14.4" x14ac:dyDescent="0.3"/>
  <cols>
    <col min="1" max="1" width="8.88671875" style="2"/>
    <col min="2" max="2" width="17.21875" style="1" customWidth="1"/>
    <col min="3" max="3" width="48.77734375" style="1" customWidth="1"/>
    <col min="4" max="4" width="31" style="1" customWidth="1"/>
    <col min="5" max="5" width="32.6640625" style="1" customWidth="1"/>
    <col min="6" max="6" width="22.5546875" style="1" customWidth="1"/>
    <col min="7" max="7" width="9.88671875" style="1" customWidth="1"/>
    <col min="8" max="16384" width="8.88671875" style="1"/>
  </cols>
  <sheetData>
    <row r="1" spans="1:7" s="4" customFormat="1" ht="28.8" x14ac:dyDescent="0.3">
      <c r="A1" s="3" t="s">
        <v>8886</v>
      </c>
      <c r="B1" s="3" t="s">
        <v>8887</v>
      </c>
      <c r="C1" s="3" t="s">
        <v>8888</v>
      </c>
      <c r="D1" s="3" t="s">
        <v>0</v>
      </c>
      <c r="E1" s="3" t="s">
        <v>1</v>
      </c>
      <c r="F1" s="3" t="s">
        <v>2</v>
      </c>
    </row>
    <row r="2" spans="1:7" s="7" customFormat="1" x14ac:dyDescent="0.3">
      <c r="A2" s="5">
        <v>1</v>
      </c>
      <c r="B2" s="7" t="s">
        <v>3</v>
      </c>
      <c r="C2" s="7" t="s">
        <v>4</v>
      </c>
      <c r="D2" s="7" t="s">
        <v>5</v>
      </c>
      <c r="E2" s="7" t="s">
        <v>6</v>
      </c>
      <c r="F2" s="7" t="str">
        <f>HYPERLINK("https://talan.bank.gov.ua/get-user-certificate/J53253Iacbck2DDK1b7z","Завантажити сертифікат")</f>
        <v>Завантажити сертифікат</v>
      </c>
      <c r="G2" s="8"/>
    </row>
    <row r="3" spans="1:7" s="7" customFormat="1" x14ac:dyDescent="0.3">
      <c r="A3" s="5">
        <v>2</v>
      </c>
      <c r="B3" s="7" t="s">
        <v>7</v>
      </c>
      <c r="C3" s="7" t="s">
        <v>4</v>
      </c>
      <c r="D3" s="7" t="s">
        <v>5</v>
      </c>
      <c r="E3" s="7" t="s">
        <v>8</v>
      </c>
      <c r="F3" s="7" t="str">
        <f>HYPERLINK("https://talan.bank.gov.ua/get-user-certificate/J5325-dj8FqHMplWMEZh","Завантажити сертифікат")</f>
        <v>Завантажити сертифікат</v>
      </c>
    </row>
    <row r="4" spans="1:7" s="7" customFormat="1" x14ac:dyDescent="0.3">
      <c r="A4" s="5">
        <v>3</v>
      </c>
      <c r="B4" s="7" t="s">
        <v>9</v>
      </c>
      <c r="C4" s="7" t="s">
        <v>4</v>
      </c>
      <c r="D4" s="7" t="s">
        <v>5</v>
      </c>
      <c r="E4" s="7" t="s">
        <v>10</v>
      </c>
      <c r="F4" s="7" t="str">
        <f>HYPERLINK("https://talan.bank.gov.ua/get-user-certificate/J5325XUTLTpMk7W_5Xkq","Завантажити сертифікат")</f>
        <v>Завантажити сертифікат</v>
      </c>
    </row>
    <row r="5" spans="1:7" s="7" customFormat="1" x14ac:dyDescent="0.3">
      <c r="A5" s="5">
        <v>4</v>
      </c>
      <c r="B5" s="7" t="s">
        <v>11</v>
      </c>
      <c r="C5" s="7" t="s">
        <v>4</v>
      </c>
      <c r="D5" s="7" t="s">
        <v>5</v>
      </c>
      <c r="E5" s="7" t="s">
        <v>12</v>
      </c>
      <c r="F5" s="7" t="str">
        <f>HYPERLINK("https://talan.bank.gov.ua/get-user-certificate/J53253ZEN-ut_TCLb17d","Завантажити сертифікат")</f>
        <v>Завантажити сертифікат</v>
      </c>
    </row>
    <row r="6" spans="1:7" s="7" customFormat="1" x14ac:dyDescent="0.3">
      <c r="A6" s="5">
        <v>5</v>
      </c>
      <c r="B6" s="7" t="s">
        <v>13</v>
      </c>
      <c r="C6" s="7" t="s">
        <v>4</v>
      </c>
      <c r="D6" s="7" t="s">
        <v>5</v>
      </c>
      <c r="E6" s="7" t="s">
        <v>14</v>
      </c>
      <c r="F6" s="7" t="str">
        <f>HYPERLINK("https://talan.bank.gov.ua/get-user-certificate/J5325SFroLqXrO3xii-5","Завантажити сертифікат")</f>
        <v>Завантажити сертифікат</v>
      </c>
    </row>
    <row r="7" spans="1:7" s="7" customFormat="1" x14ac:dyDescent="0.3">
      <c r="A7" s="5">
        <v>6</v>
      </c>
      <c r="B7" s="7" t="s">
        <v>15</v>
      </c>
      <c r="C7" s="7" t="s">
        <v>4</v>
      </c>
      <c r="D7" s="7" t="s">
        <v>5</v>
      </c>
      <c r="E7" s="7" t="s">
        <v>16</v>
      </c>
      <c r="F7" s="7" t="str">
        <f>HYPERLINK("https://talan.bank.gov.ua/get-user-certificate/J5325RG3RPTNXy70vFSW","Завантажити сертифікат")</f>
        <v>Завантажити сертифікат</v>
      </c>
    </row>
    <row r="8" spans="1:7" s="7" customFormat="1" x14ac:dyDescent="0.3">
      <c r="A8" s="5">
        <v>7</v>
      </c>
      <c r="B8" s="7" t="s">
        <v>17</v>
      </c>
      <c r="C8" s="7" t="s">
        <v>4</v>
      </c>
      <c r="D8" s="7" t="s">
        <v>5</v>
      </c>
      <c r="E8" s="7" t="s">
        <v>18</v>
      </c>
      <c r="F8" s="7" t="str">
        <f>HYPERLINK("https://talan.bank.gov.ua/get-user-certificate/J5325epPAhbgofW1awEk","Завантажити сертифікат")</f>
        <v>Завантажити сертифікат</v>
      </c>
    </row>
    <row r="9" spans="1:7" s="7" customFormat="1" x14ac:dyDescent="0.3">
      <c r="A9" s="5">
        <v>8</v>
      </c>
      <c r="B9" s="7" t="s">
        <v>19</v>
      </c>
      <c r="C9" s="7" t="s">
        <v>4</v>
      </c>
      <c r="D9" s="7" t="s">
        <v>5</v>
      </c>
      <c r="E9" s="7" t="s">
        <v>20</v>
      </c>
      <c r="F9" s="7" t="str">
        <f>HYPERLINK("https://talan.bank.gov.ua/get-user-certificate/J5325MMS2Fbzmu4G_jOh","Завантажити сертифікат")</f>
        <v>Завантажити сертифікат</v>
      </c>
    </row>
    <row r="10" spans="1:7" s="7" customFormat="1" x14ac:dyDescent="0.3">
      <c r="A10" s="5">
        <v>9</v>
      </c>
      <c r="B10" s="7" t="s">
        <v>21</v>
      </c>
      <c r="C10" s="7" t="s">
        <v>4</v>
      </c>
      <c r="D10" s="7" t="s">
        <v>5</v>
      </c>
      <c r="E10" s="7" t="s">
        <v>22</v>
      </c>
      <c r="F10" s="7" t="str">
        <f>HYPERLINK("https://talan.bank.gov.ua/get-user-certificate/J5325kKWC3Ftt-SCY_ot","Завантажити сертифікат")</f>
        <v>Завантажити сертифікат</v>
      </c>
    </row>
    <row r="11" spans="1:7" s="7" customFormat="1" x14ac:dyDescent="0.3">
      <c r="A11" s="5">
        <v>10</v>
      </c>
      <c r="B11" s="7" t="s">
        <v>23</v>
      </c>
      <c r="C11" s="7" t="s">
        <v>4</v>
      </c>
      <c r="D11" s="7" t="s">
        <v>5</v>
      </c>
      <c r="E11" s="7" t="s">
        <v>24</v>
      </c>
      <c r="F11" s="7" t="str">
        <f>HYPERLINK("https://talan.bank.gov.ua/get-user-certificate/J53254shmtvz3lNwuXxR","Завантажити сертифікат")</f>
        <v>Завантажити сертифікат</v>
      </c>
    </row>
    <row r="12" spans="1:7" s="7" customFormat="1" x14ac:dyDescent="0.3">
      <c r="A12" s="5">
        <v>11</v>
      </c>
      <c r="B12" s="7" t="s">
        <v>25</v>
      </c>
      <c r="C12" s="7" t="s">
        <v>4</v>
      </c>
      <c r="D12" s="7" t="s">
        <v>5</v>
      </c>
      <c r="E12" s="7" t="s">
        <v>26</v>
      </c>
      <c r="F12" s="7" t="str">
        <f>HYPERLINK("https://talan.bank.gov.ua/get-user-certificate/J5325e8w8x-VCnD5hq_E","Завантажити сертифікат")</f>
        <v>Завантажити сертифікат</v>
      </c>
    </row>
    <row r="13" spans="1:7" s="7" customFormat="1" x14ac:dyDescent="0.3">
      <c r="A13" s="5">
        <v>12</v>
      </c>
      <c r="B13" s="7" t="s">
        <v>27</v>
      </c>
      <c r="C13" s="7" t="s">
        <v>4</v>
      </c>
      <c r="D13" s="7" t="s">
        <v>5</v>
      </c>
      <c r="E13" s="7" t="s">
        <v>28</v>
      </c>
      <c r="F13" s="7" t="str">
        <f>HYPERLINK("https://talan.bank.gov.ua/get-user-certificate/J5325ctlfVnFPAOj-a1J","Завантажити сертифікат")</f>
        <v>Завантажити сертифікат</v>
      </c>
    </row>
    <row r="14" spans="1:7" s="7" customFormat="1" x14ac:dyDescent="0.3">
      <c r="A14" s="5">
        <v>13</v>
      </c>
      <c r="B14" s="7" t="s">
        <v>29</v>
      </c>
      <c r="C14" s="7" t="s">
        <v>4</v>
      </c>
      <c r="D14" s="7" t="s">
        <v>5</v>
      </c>
      <c r="E14" s="7" t="s">
        <v>30</v>
      </c>
      <c r="F14" s="7" t="str">
        <f>HYPERLINK("https://talan.bank.gov.ua/get-user-certificate/J53257oYUuf36G9aaEJO","Завантажити сертифікат")</f>
        <v>Завантажити сертифікат</v>
      </c>
    </row>
    <row r="15" spans="1:7" s="7" customFormat="1" x14ac:dyDescent="0.3">
      <c r="A15" s="5">
        <v>14</v>
      </c>
      <c r="B15" s="7" t="s">
        <v>31</v>
      </c>
      <c r="C15" s="7" t="s">
        <v>4</v>
      </c>
      <c r="D15" s="7" t="s">
        <v>5</v>
      </c>
      <c r="E15" s="7" t="s">
        <v>32</v>
      </c>
      <c r="F15" s="7" t="str">
        <f>HYPERLINK("https://talan.bank.gov.ua/get-user-certificate/J5325dylpak1izyxrWqU","Завантажити сертифікат")</f>
        <v>Завантажити сертифікат</v>
      </c>
    </row>
    <row r="16" spans="1:7" s="7" customFormat="1" x14ac:dyDescent="0.3">
      <c r="A16" s="5">
        <v>15</v>
      </c>
      <c r="B16" s="7" t="s">
        <v>33</v>
      </c>
      <c r="C16" s="7" t="s">
        <v>4</v>
      </c>
      <c r="D16" s="7" t="s">
        <v>5</v>
      </c>
      <c r="E16" s="7" t="s">
        <v>34</v>
      </c>
      <c r="F16" s="7" t="str">
        <f>HYPERLINK("https://talan.bank.gov.ua/get-user-certificate/J5325WNqUP4pmBi1dGY5","Завантажити сертифікат")</f>
        <v>Завантажити сертифікат</v>
      </c>
    </row>
    <row r="17" spans="1:6" s="7" customFormat="1" x14ac:dyDescent="0.3">
      <c r="A17" s="5">
        <v>16</v>
      </c>
      <c r="B17" s="7" t="s">
        <v>35</v>
      </c>
      <c r="C17" s="7" t="s">
        <v>4</v>
      </c>
      <c r="D17" s="7" t="s">
        <v>5</v>
      </c>
      <c r="E17" s="7" t="s">
        <v>36</v>
      </c>
      <c r="F17" s="7" t="str">
        <f>HYPERLINK("https://talan.bank.gov.ua/get-user-certificate/J5325kx6rcWsNlg13wLd","Завантажити сертифікат")</f>
        <v>Завантажити сертифікат</v>
      </c>
    </row>
    <row r="18" spans="1:6" s="7" customFormat="1" x14ac:dyDescent="0.3">
      <c r="A18" s="5">
        <v>17</v>
      </c>
      <c r="B18" s="7" t="s">
        <v>37</v>
      </c>
      <c r="C18" s="7" t="s">
        <v>4</v>
      </c>
      <c r="D18" s="7" t="s">
        <v>5</v>
      </c>
      <c r="E18" s="7" t="s">
        <v>38</v>
      </c>
      <c r="F18" s="7" t="str">
        <f>HYPERLINK("https://talan.bank.gov.ua/get-user-certificate/J5325StSIFT1Uq3MQi85","Завантажити сертифікат")</f>
        <v>Завантажити сертифікат</v>
      </c>
    </row>
    <row r="19" spans="1:6" s="7" customFormat="1" x14ac:dyDescent="0.3">
      <c r="A19" s="5">
        <v>18</v>
      </c>
      <c r="B19" s="7" t="s">
        <v>39</v>
      </c>
      <c r="C19" s="7" t="s">
        <v>4</v>
      </c>
      <c r="D19" s="7" t="s">
        <v>5</v>
      </c>
      <c r="E19" s="7" t="s">
        <v>40</v>
      </c>
      <c r="F19" s="7" t="str">
        <f>HYPERLINK("https://talan.bank.gov.ua/get-user-certificate/J5325vXFuFYy4Zr6p_pb","Завантажити сертифікат")</f>
        <v>Завантажити сертифікат</v>
      </c>
    </row>
    <row r="20" spans="1:6" s="7" customFormat="1" x14ac:dyDescent="0.3">
      <c r="A20" s="5">
        <v>19</v>
      </c>
      <c r="B20" s="7" t="s">
        <v>41</v>
      </c>
      <c r="C20" s="7" t="s">
        <v>4</v>
      </c>
      <c r="D20" s="7" t="s">
        <v>5</v>
      </c>
      <c r="E20" s="7" t="s">
        <v>42</v>
      </c>
      <c r="F20" s="7" t="str">
        <f>HYPERLINK("https://talan.bank.gov.ua/get-user-certificate/J5325IxWAZ_akMDNbX0K","Завантажити сертифікат")</f>
        <v>Завантажити сертифікат</v>
      </c>
    </row>
    <row r="21" spans="1:6" s="7" customFormat="1" x14ac:dyDescent="0.3">
      <c r="A21" s="5">
        <v>20</v>
      </c>
      <c r="B21" s="7" t="s">
        <v>43</v>
      </c>
      <c r="C21" s="7" t="s">
        <v>4</v>
      </c>
      <c r="D21" s="7" t="s">
        <v>5</v>
      </c>
      <c r="E21" s="7" t="s">
        <v>44</v>
      </c>
      <c r="F21" s="7" t="str">
        <f>HYPERLINK("https://talan.bank.gov.ua/get-user-certificate/J53257l0YCUbKiL74cq5","Завантажити сертифікат")</f>
        <v>Завантажити сертифікат</v>
      </c>
    </row>
    <row r="22" spans="1:6" s="7" customFormat="1" x14ac:dyDescent="0.3">
      <c r="A22" s="5">
        <v>21</v>
      </c>
      <c r="B22" s="7" t="s">
        <v>45</v>
      </c>
      <c r="C22" s="7" t="s">
        <v>4</v>
      </c>
      <c r="D22" s="7" t="s">
        <v>5</v>
      </c>
      <c r="E22" s="7" t="s">
        <v>46</v>
      </c>
      <c r="F22" s="7" t="str">
        <f>HYPERLINK("https://talan.bank.gov.ua/get-user-certificate/J5325oIbcc6en8ZTpalV","Завантажити сертифікат")</f>
        <v>Завантажити сертифікат</v>
      </c>
    </row>
    <row r="23" spans="1:6" s="7" customFormat="1" x14ac:dyDescent="0.3">
      <c r="A23" s="5">
        <v>22</v>
      </c>
      <c r="B23" s="7" t="s">
        <v>47</v>
      </c>
      <c r="C23" s="7" t="s">
        <v>4</v>
      </c>
      <c r="D23" s="7" t="s">
        <v>5</v>
      </c>
      <c r="E23" s="7" t="s">
        <v>48</v>
      </c>
      <c r="F23" s="7" t="str">
        <f>HYPERLINK("https://talan.bank.gov.ua/get-user-certificate/J5325bBJxn_IqcDFO7Ck","Завантажити сертифікат")</f>
        <v>Завантажити сертифікат</v>
      </c>
    </row>
    <row r="24" spans="1:6" s="7" customFormat="1" x14ac:dyDescent="0.3">
      <c r="A24" s="5">
        <v>23</v>
      </c>
      <c r="B24" s="7" t="s">
        <v>49</v>
      </c>
      <c r="C24" s="7" t="s">
        <v>4</v>
      </c>
      <c r="D24" s="7" t="s">
        <v>5</v>
      </c>
      <c r="E24" s="7" t="s">
        <v>50</v>
      </c>
      <c r="F24" s="7" t="str">
        <f>HYPERLINK("https://talan.bank.gov.ua/get-user-certificate/J5325JUtDuNPMC_hGMMx","Завантажити сертифікат")</f>
        <v>Завантажити сертифікат</v>
      </c>
    </row>
    <row r="25" spans="1:6" s="7" customFormat="1" x14ac:dyDescent="0.3">
      <c r="A25" s="5">
        <v>24</v>
      </c>
      <c r="B25" s="7" t="s">
        <v>51</v>
      </c>
      <c r="C25" s="7" t="s">
        <v>4</v>
      </c>
      <c r="D25" s="7" t="s">
        <v>5</v>
      </c>
      <c r="E25" s="7" t="s">
        <v>52</v>
      </c>
      <c r="F25" s="7" t="str">
        <f>HYPERLINK("https://talan.bank.gov.ua/get-user-certificate/J532592QdHuxgqKmorD9","Завантажити сертифікат")</f>
        <v>Завантажити сертифікат</v>
      </c>
    </row>
    <row r="26" spans="1:6" s="7" customFormat="1" x14ac:dyDescent="0.3">
      <c r="A26" s="5">
        <v>25</v>
      </c>
      <c r="B26" s="7" t="s">
        <v>53</v>
      </c>
      <c r="C26" s="7" t="s">
        <v>4</v>
      </c>
      <c r="D26" s="7" t="s">
        <v>5</v>
      </c>
      <c r="E26" s="7" t="s">
        <v>54</v>
      </c>
      <c r="F26" s="7" t="str">
        <f>HYPERLINK("https://talan.bank.gov.ua/get-user-certificate/J5325GbC7Y0MZ0X45yEQ","Завантажити сертифікат")</f>
        <v>Завантажити сертифікат</v>
      </c>
    </row>
    <row r="27" spans="1:6" s="7" customFormat="1" x14ac:dyDescent="0.3">
      <c r="A27" s="5">
        <v>26</v>
      </c>
      <c r="B27" s="7" t="s">
        <v>55</v>
      </c>
      <c r="C27" s="7" t="s">
        <v>4</v>
      </c>
      <c r="D27" s="7" t="s">
        <v>5</v>
      </c>
      <c r="E27" s="7" t="s">
        <v>56</v>
      </c>
      <c r="F27" s="7" t="str">
        <f>HYPERLINK("https://talan.bank.gov.ua/get-user-certificate/J5325EZuaGRjrooYBE27","Завантажити сертифікат")</f>
        <v>Завантажити сертифікат</v>
      </c>
    </row>
    <row r="28" spans="1:6" x14ac:dyDescent="0.3">
      <c r="A28" s="2">
        <v>27</v>
      </c>
      <c r="B28" s="1" t="s">
        <v>57</v>
      </c>
      <c r="C28" s="1" t="s">
        <v>58</v>
      </c>
      <c r="D28" s="1" t="s">
        <v>59</v>
      </c>
      <c r="E28" s="1" t="s">
        <v>60</v>
      </c>
      <c r="F28" s="1" t="str">
        <f>HYPERLINK("https://talan.bank.gov.ua/get-user-certificate/J5325DJ8bGSPAu0HnDyE","Завантажити сертифікат")</f>
        <v>Завантажити сертифікат</v>
      </c>
    </row>
    <row r="29" spans="1:6" x14ac:dyDescent="0.3">
      <c r="A29" s="2">
        <v>28</v>
      </c>
      <c r="B29" s="1" t="s">
        <v>61</v>
      </c>
      <c r="C29" s="1" t="s">
        <v>58</v>
      </c>
      <c r="D29" s="1" t="s">
        <v>59</v>
      </c>
      <c r="E29" s="1" t="s">
        <v>62</v>
      </c>
      <c r="F29" s="1" t="str">
        <f>HYPERLINK("https://talan.bank.gov.ua/get-user-certificate/J5325iT4YN9x4GpRzyEa","Завантажити сертифікат")</f>
        <v>Завантажити сертифікат</v>
      </c>
    </row>
    <row r="30" spans="1:6" x14ac:dyDescent="0.3">
      <c r="A30" s="2">
        <v>29</v>
      </c>
      <c r="B30" s="1" t="s">
        <v>63</v>
      </c>
      <c r="C30" s="1" t="s">
        <v>58</v>
      </c>
      <c r="D30" s="1" t="s">
        <v>59</v>
      </c>
      <c r="E30" s="1" t="s">
        <v>64</v>
      </c>
      <c r="F30" s="1" t="str">
        <f>HYPERLINK("https://talan.bank.gov.ua/get-user-certificate/J5325frLlWKKBzoViZGR","Завантажити сертифікат")</f>
        <v>Завантажити сертифікат</v>
      </c>
    </row>
    <row r="31" spans="1:6" x14ac:dyDescent="0.3">
      <c r="A31" s="2">
        <v>30</v>
      </c>
      <c r="B31" s="1" t="s">
        <v>65</v>
      </c>
      <c r="C31" s="1" t="s">
        <v>58</v>
      </c>
      <c r="D31" s="1" t="s">
        <v>59</v>
      </c>
      <c r="E31" s="1" t="s">
        <v>66</v>
      </c>
      <c r="F31" s="1" t="str">
        <f>HYPERLINK("https://talan.bank.gov.ua/get-user-certificate/J5325Ft2diYsjOQnO7pO","Завантажити сертифікат")</f>
        <v>Завантажити сертифікат</v>
      </c>
    </row>
    <row r="32" spans="1:6" x14ac:dyDescent="0.3">
      <c r="A32" s="2">
        <v>31</v>
      </c>
      <c r="B32" s="1" t="s">
        <v>67</v>
      </c>
      <c r="C32" s="1" t="s">
        <v>58</v>
      </c>
      <c r="D32" s="1" t="s">
        <v>59</v>
      </c>
      <c r="E32" s="1" t="s">
        <v>68</v>
      </c>
      <c r="F32" s="1" t="str">
        <f>HYPERLINK("https://talan.bank.gov.ua/get-user-certificate/J5325qaOe6yeLWJYh4uy","Завантажити сертифікат")</f>
        <v>Завантажити сертифікат</v>
      </c>
    </row>
    <row r="33" spans="1:6" x14ac:dyDescent="0.3">
      <c r="A33" s="2">
        <v>32</v>
      </c>
      <c r="B33" s="1" t="s">
        <v>69</v>
      </c>
      <c r="C33" s="1" t="s">
        <v>58</v>
      </c>
      <c r="D33" s="1" t="s">
        <v>59</v>
      </c>
      <c r="E33" s="1" t="s">
        <v>70</v>
      </c>
      <c r="F33" s="1" t="str">
        <f>HYPERLINK("https://talan.bank.gov.ua/get-user-certificate/J5325oXiHf5X0nVEG6hw","Завантажити сертифікат")</f>
        <v>Завантажити сертифікат</v>
      </c>
    </row>
    <row r="34" spans="1:6" x14ac:dyDescent="0.3">
      <c r="A34" s="2">
        <v>33</v>
      </c>
      <c r="B34" s="1" t="s">
        <v>71</v>
      </c>
      <c r="C34" s="1" t="s">
        <v>58</v>
      </c>
      <c r="D34" s="1" t="s">
        <v>59</v>
      </c>
      <c r="E34" s="1" t="s">
        <v>72</v>
      </c>
      <c r="F34" s="1" t="str">
        <f>HYPERLINK("https://talan.bank.gov.ua/get-user-certificate/J5325U8wq-bNDrUJJqTa","Завантажити сертифікат")</f>
        <v>Завантажити сертифікат</v>
      </c>
    </row>
    <row r="35" spans="1:6" x14ac:dyDescent="0.3">
      <c r="A35" s="2">
        <v>34</v>
      </c>
      <c r="B35" s="1" t="s">
        <v>73</v>
      </c>
      <c r="C35" s="1" t="s">
        <v>58</v>
      </c>
      <c r="D35" s="1" t="s">
        <v>59</v>
      </c>
      <c r="E35" s="1" t="s">
        <v>74</v>
      </c>
      <c r="F35" s="1" t="str">
        <f>HYPERLINK("https://talan.bank.gov.ua/get-user-certificate/J5325cKeg5CLTRZxZ0mj","Завантажити сертифікат")</f>
        <v>Завантажити сертифікат</v>
      </c>
    </row>
    <row r="36" spans="1:6" x14ac:dyDescent="0.3">
      <c r="A36" s="2">
        <v>35</v>
      </c>
      <c r="B36" s="1" t="s">
        <v>75</v>
      </c>
      <c r="C36" s="1" t="s">
        <v>58</v>
      </c>
      <c r="D36" s="1" t="s">
        <v>59</v>
      </c>
      <c r="E36" s="1" t="s">
        <v>76</v>
      </c>
      <c r="F36" s="1" t="str">
        <f>HYPERLINK("https://talan.bank.gov.ua/get-user-certificate/J5325tZSgYW9bJVXdzbL","Завантажити сертифікат")</f>
        <v>Завантажити сертифікат</v>
      </c>
    </row>
    <row r="37" spans="1:6" x14ac:dyDescent="0.3">
      <c r="A37" s="2">
        <v>36</v>
      </c>
      <c r="B37" s="1" t="s">
        <v>77</v>
      </c>
      <c r="C37" s="1" t="s">
        <v>58</v>
      </c>
      <c r="D37" s="1" t="s">
        <v>59</v>
      </c>
      <c r="E37" s="1" t="s">
        <v>78</v>
      </c>
      <c r="F37" s="1" t="str">
        <f>HYPERLINK("https://talan.bank.gov.ua/get-user-certificate/J5325veGapNOP5qr-VoB","Завантажити сертифікат")</f>
        <v>Завантажити сертифікат</v>
      </c>
    </row>
    <row r="38" spans="1:6" x14ac:dyDescent="0.3">
      <c r="A38" s="2">
        <v>37</v>
      </c>
      <c r="B38" s="1" t="s">
        <v>79</v>
      </c>
      <c r="C38" s="1" t="s">
        <v>58</v>
      </c>
      <c r="D38" s="1" t="s">
        <v>59</v>
      </c>
      <c r="E38" s="1" t="s">
        <v>80</v>
      </c>
      <c r="F38" s="1" t="str">
        <f>HYPERLINK("https://talan.bank.gov.ua/get-user-certificate/J53252Dm0a0pQ3sq5H-S","Завантажити сертифікат")</f>
        <v>Завантажити сертифікат</v>
      </c>
    </row>
    <row r="39" spans="1:6" x14ac:dyDescent="0.3">
      <c r="A39" s="2">
        <v>38</v>
      </c>
      <c r="B39" s="1" t="s">
        <v>81</v>
      </c>
      <c r="C39" s="1" t="s">
        <v>58</v>
      </c>
      <c r="D39" s="1" t="s">
        <v>59</v>
      </c>
      <c r="E39" s="1" t="s">
        <v>82</v>
      </c>
      <c r="F39" s="1" t="str">
        <f>HYPERLINK("https://talan.bank.gov.ua/get-user-certificate/J5325XKh7wzC18B3jG6I","Завантажити сертифікат")</f>
        <v>Завантажити сертифікат</v>
      </c>
    </row>
    <row r="40" spans="1:6" x14ac:dyDescent="0.3">
      <c r="A40" s="2">
        <v>39</v>
      </c>
      <c r="B40" s="1" t="s">
        <v>83</v>
      </c>
      <c r="C40" s="1" t="s">
        <v>58</v>
      </c>
      <c r="D40" s="1" t="s">
        <v>59</v>
      </c>
      <c r="E40" s="1" t="s">
        <v>84</v>
      </c>
      <c r="F40" s="1" t="str">
        <f>HYPERLINK("https://talan.bank.gov.ua/get-user-certificate/J5325rRlmGAertE5RAeX","Завантажити сертифікат")</f>
        <v>Завантажити сертифікат</v>
      </c>
    </row>
    <row r="41" spans="1:6" x14ac:dyDescent="0.3">
      <c r="A41" s="2">
        <v>40</v>
      </c>
      <c r="B41" s="1" t="s">
        <v>85</v>
      </c>
      <c r="C41" s="1" t="s">
        <v>58</v>
      </c>
      <c r="D41" s="1" t="s">
        <v>59</v>
      </c>
      <c r="E41" s="1" t="s">
        <v>86</v>
      </c>
      <c r="F41" s="1" t="str">
        <f>HYPERLINK("https://talan.bank.gov.ua/get-user-certificate/J5325qgUS2w9dYe4-TZs","Завантажити сертифікат")</f>
        <v>Завантажити сертифікат</v>
      </c>
    </row>
    <row r="42" spans="1:6" x14ac:dyDescent="0.3">
      <c r="A42" s="2">
        <v>41</v>
      </c>
      <c r="B42" s="1" t="s">
        <v>87</v>
      </c>
      <c r="C42" s="1" t="s">
        <v>58</v>
      </c>
      <c r="D42" s="1" t="s">
        <v>59</v>
      </c>
      <c r="E42" s="1" t="s">
        <v>88</v>
      </c>
      <c r="F42" s="1" t="str">
        <f>HYPERLINK("https://talan.bank.gov.ua/get-user-certificate/J5325nqQofepPaiPpn6Y","Завантажити сертифікат")</f>
        <v>Завантажити сертифікат</v>
      </c>
    </row>
    <row r="43" spans="1:6" x14ac:dyDescent="0.3">
      <c r="A43" s="2">
        <v>42</v>
      </c>
      <c r="B43" s="1" t="s">
        <v>89</v>
      </c>
      <c r="C43" s="1" t="s">
        <v>58</v>
      </c>
      <c r="D43" s="1" t="s">
        <v>59</v>
      </c>
      <c r="E43" s="1" t="s">
        <v>90</v>
      </c>
      <c r="F43" s="1" t="str">
        <f>HYPERLINK("https://talan.bank.gov.ua/get-user-certificate/J5325D64QrdojJDvKOt-","Завантажити сертифікат")</f>
        <v>Завантажити сертифікат</v>
      </c>
    </row>
    <row r="44" spans="1:6" x14ac:dyDescent="0.3">
      <c r="A44" s="2">
        <v>43</v>
      </c>
      <c r="B44" s="1" t="s">
        <v>91</v>
      </c>
      <c r="C44" s="1" t="s">
        <v>58</v>
      </c>
      <c r="D44" s="1" t="s">
        <v>59</v>
      </c>
      <c r="E44" s="1" t="s">
        <v>92</v>
      </c>
      <c r="F44" s="1" t="str">
        <f>HYPERLINK("https://talan.bank.gov.ua/get-user-certificate/J5325xCcwTNZC_ByvPXI","Завантажити сертифікат")</f>
        <v>Завантажити сертифікат</v>
      </c>
    </row>
    <row r="45" spans="1:6" ht="43.2" x14ac:dyDescent="0.3">
      <c r="A45" s="2">
        <v>44</v>
      </c>
      <c r="B45" s="1" t="s">
        <v>93</v>
      </c>
      <c r="C45" s="1" t="s">
        <v>94</v>
      </c>
      <c r="D45" s="1" t="s">
        <v>95</v>
      </c>
      <c r="E45" s="1" t="s">
        <v>96</v>
      </c>
      <c r="F45" s="1" t="str">
        <f>HYPERLINK("https://talan.bank.gov.ua/get-user-certificate/J53258htEgtO9YF43Y9Z","Завантажити сертифікат")</f>
        <v>Завантажити сертифікат</v>
      </c>
    </row>
    <row r="46" spans="1:6" ht="43.2" x14ac:dyDescent="0.3">
      <c r="A46" s="2">
        <v>45</v>
      </c>
      <c r="B46" s="1" t="s">
        <v>97</v>
      </c>
      <c r="C46" s="1" t="s">
        <v>94</v>
      </c>
      <c r="D46" s="1" t="s">
        <v>95</v>
      </c>
      <c r="E46" s="1" t="s">
        <v>98</v>
      </c>
      <c r="F46" s="1" t="str">
        <f>HYPERLINK("https://talan.bank.gov.ua/get-user-certificate/J5325Y9KEqWtxWtnkBTO","Завантажити сертифікат")</f>
        <v>Завантажити сертифікат</v>
      </c>
    </row>
    <row r="47" spans="1:6" ht="43.2" x14ac:dyDescent="0.3">
      <c r="A47" s="2">
        <v>46</v>
      </c>
      <c r="B47" s="1" t="s">
        <v>99</v>
      </c>
      <c r="C47" s="1" t="s">
        <v>94</v>
      </c>
      <c r="D47" s="1" t="s">
        <v>95</v>
      </c>
      <c r="E47" s="1" t="s">
        <v>100</v>
      </c>
      <c r="F47" s="1" t="str">
        <f>HYPERLINK("https://talan.bank.gov.ua/get-user-certificate/J5325azERQy4VB8Gyq8p","Завантажити сертифікат")</f>
        <v>Завантажити сертифікат</v>
      </c>
    </row>
    <row r="48" spans="1:6" ht="43.2" x14ac:dyDescent="0.3">
      <c r="A48" s="2">
        <v>47</v>
      </c>
      <c r="B48" s="1" t="s">
        <v>101</v>
      </c>
      <c r="C48" s="1" t="s">
        <v>94</v>
      </c>
      <c r="D48" s="1" t="s">
        <v>95</v>
      </c>
      <c r="E48" s="1" t="s">
        <v>102</v>
      </c>
      <c r="F48" s="1" t="str">
        <f>HYPERLINK("https://talan.bank.gov.ua/get-user-certificate/J5325DsOvUrItATDNxj8","Завантажити сертифікат")</f>
        <v>Завантажити сертифікат</v>
      </c>
    </row>
    <row r="49" spans="1:6" ht="43.2" x14ac:dyDescent="0.3">
      <c r="A49" s="2">
        <v>48</v>
      </c>
      <c r="B49" s="1" t="s">
        <v>103</v>
      </c>
      <c r="C49" s="1" t="s">
        <v>94</v>
      </c>
      <c r="D49" s="1" t="s">
        <v>95</v>
      </c>
      <c r="E49" s="1" t="s">
        <v>104</v>
      </c>
      <c r="F49" s="1" t="str">
        <f>HYPERLINK("https://talan.bank.gov.ua/get-user-certificate/J5325JStwWOkcM8FsOfF","Завантажити сертифікат")</f>
        <v>Завантажити сертифікат</v>
      </c>
    </row>
    <row r="50" spans="1:6" ht="43.2" x14ac:dyDescent="0.3">
      <c r="A50" s="2">
        <v>49</v>
      </c>
      <c r="B50" s="1" t="s">
        <v>105</v>
      </c>
      <c r="C50" s="1" t="s">
        <v>94</v>
      </c>
      <c r="D50" s="1" t="s">
        <v>95</v>
      </c>
      <c r="E50" s="1" t="s">
        <v>106</v>
      </c>
      <c r="F50" s="1" t="str">
        <f>HYPERLINK("https://talan.bank.gov.ua/get-user-certificate/J5325vLRsnryV17vObnm","Завантажити сертифікат")</f>
        <v>Завантажити сертифікат</v>
      </c>
    </row>
    <row r="51" spans="1:6" ht="43.2" x14ac:dyDescent="0.3">
      <c r="A51" s="2">
        <v>50</v>
      </c>
      <c r="B51" s="1" t="s">
        <v>107</v>
      </c>
      <c r="C51" s="1" t="s">
        <v>94</v>
      </c>
      <c r="D51" s="1" t="s">
        <v>95</v>
      </c>
      <c r="E51" s="1" t="s">
        <v>108</v>
      </c>
      <c r="F51" s="1" t="str">
        <f>HYPERLINK("https://talan.bank.gov.ua/get-user-certificate/J5325qS8INQtlmo-Zx1A","Завантажити сертифікат")</f>
        <v>Завантажити сертифікат</v>
      </c>
    </row>
    <row r="52" spans="1:6" ht="43.2" x14ac:dyDescent="0.3">
      <c r="A52" s="2">
        <v>51</v>
      </c>
      <c r="B52" s="1" t="s">
        <v>109</v>
      </c>
      <c r="C52" s="1" t="s">
        <v>94</v>
      </c>
      <c r="D52" s="1" t="s">
        <v>95</v>
      </c>
      <c r="E52" s="1" t="s">
        <v>110</v>
      </c>
      <c r="F52" s="1" t="str">
        <f>HYPERLINK("https://talan.bank.gov.ua/get-user-certificate/J5325hqtnMvRSB3sIosd","Завантажити сертифікат")</f>
        <v>Завантажити сертифікат</v>
      </c>
    </row>
    <row r="53" spans="1:6" ht="28.8" x14ac:dyDescent="0.3">
      <c r="A53" s="2">
        <v>52</v>
      </c>
      <c r="B53" s="1" t="s">
        <v>111</v>
      </c>
      <c r="C53" s="1" t="s">
        <v>112</v>
      </c>
      <c r="D53" s="1" t="s">
        <v>113</v>
      </c>
      <c r="E53" s="1" t="s">
        <v>114</v>
      </c>
      <c r="F53" s="1" t="str">
        <f>HYPERLINK("https://talan.bank.gov.ua/get-user-certificate/J5325TbI6lpwCDEfRN0L","Завантажити сертифікат")</f>
        <v>Завантажити сертифікат</v>
      </c>
    </row>
    <row r="54" spans="1:6" ht="28.8" x14ac:dyDescent="0.3">
      <c r="A54" s="2">
        <v>53</v>
      </c>
      <c r="B54" s="1" t="s">
        <v>115</v>
      </c>
      <c r="C54" s="1" t="s">
        <v>112</v>
      </c>
      <c r="D54" s="1" t="s">
        <v>113</v>
      </c>
      <c r="E54" s="1" t="s">
        <v>116</v>
      </c>
      <c r="F54" s="1" t="str">
        <f>HYPERLINK("https://talan.bank.gov.ua/get-user-certificate/J53256NEUdWCHq0VSBoE","Завантажити сертифікат")</f>
        <v>Завантажити сертифікат</v>
      </c>
    </row>
    <row r="55" spans="1:6" ht="28.8" x14ac:dyDescent="0.3">
      <c r="A55" s="2">
        <v>54</v>
      </c>
      <c r="B55" s="1" t="s">
        <v>117</v>
      </c>
      <c r="C55" s="1" t="s">
        <v>112</v>
      </c>
      <c r="D55" s="1" t="s">
        <v>113</v>
      </c>
      <c r="E55" s="1" t="s">
        <v>118</v>
      </c>
      <c r="F55" s="1" t="str">
        <f>HYPERLINK("https://talan.bank.gov.ua/get-user-certificate/J5325CDKcak69X5lMPk1","Завантажити сертифікат")</f>
        <v>Завантажити сертифікат</v>
      </c>
    </row>
    <row r="56" spans="1:6" ht="28.8" x14ac:dyDescent="0.3">
      <c r="A56" s="2">
        <v>55</v>
      </c>
      <c r="B56" s="1" t="s">
        <v>119</v>
      </c>
      <c r="C56" s="1" t="s">
        <v>112</v>
      </c>
      <c r="D56" s="1" t="s">
        <v>113</v>
      </c>
      <c r="E56" s="1" t="s">
        <v>120</v>
      </c>
      <c r="F56" s="1" t="str">
        <f>HYPERLINK("https://talan.bank.gov.ua/get-user-certificate/J5325GvxvrNgdfSgNZNM","Завантажити сертифікат")</f>
        <v>Завантажити сертифікат</v>
      </c>
    </row>
    <row r="57" spans="1:6" x14ac:dyDescent="0.3">
      <c r="A57" s="2">
        <v>56</v>
      </c>
      <c r="B57" s="1" t="s">
        <v>121</v>
      </c>
      <c r="C57" s="1" t="s">
        <v>122</v>
      </c>
      <c r="D57" s="1" t="s">
        <v>123</v>
      </c>
      <c r="E57" s="1" t="s">
        <v>124</v>
      </c>
      <c r="F57" s="1" t="str">
        <f>HYPERLINK("https://talan.bank.gov.ua/get-user-certificate/J5325GmeAe3VNfzH2Wcc","Завантажити сертифікат")</f>
        <v>Завантажити сертифікат</v>
      </c>
    </row>
    <row r="58" spans="1:6" x14ac:dyDescent="0.3">
      <c r="A58" s="2">
        <v>57</v>
      </c>
      <c r="B58" s="1" t="s">
        <v>125</v>
      </c>
      <c r="C58" s="1" t="s">
        <v>122</v>
      </c>
      <c r="D58" s="1" t="s">
        <v>123</v>
      </c>
      <c r="E58" s="1" t="s">
        <v>126</v>
      </c>
      <c r="F58" s="1" t="str">
        <f>HYPERLINK("https://talan.bank.gov.ua/get-user-certificate/J5325Oih3tTWEgxAIyM_","Завантажити сертифікат")</f>
        <v>Завантажити сертифікат</v>
      </c>
    </row>
    <row r="59" spans="1:6" x14ac:dyDescent="0.3">
      <c r="A59" s="2">
        <v>58</v>
      </c>
      <c r="B59" s="1" t="s">
        <v>127</v>
      </c>
      <c r="C59" s="1" t="s">
        <v>122</v>
      </c>
      <c r="D59" s="1" t="s">
        <v>123</v>
      </c>
      <c r="E59" s="1" t="s">
        <v>128</v>
      </c>
      <c r="F59" s="1" t="str">
        <f>HYPERLINK("https://talan.bank.gov.ua/get-user-certificate/J5325KGAPr2wfVhhzS83","Завантажити сертифікат")</f>
        <v>Завантажити сертифікат</v>
      </c>
    </row>
    <row r="60" spans="1:6" x14ac:dyDescent="0.3">
      <c r="A60" s="2">
        <v>59</v>
      </c>
      <c r="B60" s="1" t="s">
        <v>129</v>
      </c>
      <c r="C60" s="1" t="s">
        <v>122</v>
      </c>
      <c r="D60" s="1" t="s">
        <v>123</v>
      </c>
      <c r="E60" s="1" t="s">
        <v>130</v>
      </c>
      <c r="F60" s="1" t="str">
        <f>HYPERLINK("https://talan.bank.gov.ua/get-user-certificate/J5325fOzI_ASolSc9Uka","Завантажити сертифікат")</f>
        <v>Завантажити сертифікат</v>
      </c>
    </row>
    <row r="61" spans="1:6" x14ac:dyDescent="0.3">
      <c r="A61" s="2">
        <v>60</v>
      </c>
      <c r="B61" s="1" t="s">
        <v>131</v>
      </c>
      <c r="C61" s="1" t="s">
        <v>122</v>
      </c>
      <c r="D61" s="1" t="s">
        <v>123</v>
      </c>
      <c r="E61" s="1" t="s">
        <v>132</v>
      </c>
      <c r="F61" s="1" t="str">
        <f>HYPERLINK("https://talan.bank.gov.ua/get-user-certificate/J5325bPzxmJEEnmqMQ5_","Завантажити сертифікат")</f>
        <v>Завантажити сертифікат</v>
      </c>
    </row>
    <row r="62" spans="1:6" x14ac:dyDescent="0.3">
      <c r="A62" s="2">
        <v>61</v>
      </c>
      <c r="B62" s="1" t="s">
        <v>133</v>
      </c>
      <c r="C62" s="1" t="s">
        <v>122</v>
      </c>
      <c r="D62" s="1" t="s">
        <v>123</v>
      </c>
      <c r="E62" s="1" t="s">
        <v>134</v>
      </c>
      <c r="F62" s="1" t="str">
        <f>HYPERLINK("https://talan.bank.gov.ua/get-user-certificate/J5325392Fkk_glyPR_xw","Завантажити сертифікат")</f>
        <v>Завантажити сертифікат</v>
      </c>
    </row>
    <row r="63" spans="1:6" x14ac:dyDescent="0.3">
      <c r="A63" s="2">
        <v>62</v>
      </c>
      <c r="B63" s="1" t="s">
        <v>135</v>
      </c>
      <c r="C63" s="1" t="s">
        <v>122</v>
      </c>
      <c r="D63" s="1" t="s">
        <v>123</v>
      </c>
      <c r="E63" s="1" t="s">
        <v>136</v>
      </c>
      <c r="F63" s="1" t="str">
        <f>HYPERLINK("https://talan.bank.gov.ua/get-user-certificate/J53251OXYKUkEMMFoep6","Завантажити сертифікат")</f>
        <v>Завантажити сертифікат</v>
      </c>
    </row>
    <row r="64" spans="1:6" x14ac:dyDescent="0.3">
      <c r="A64" s="2">
        <v>63</v>
      </c>
      <c r="B64" s="1" t="s">
        <v>137</v>
      </c>
      <c r="C64" s="1" t="s">
        <v>122</v>
      </c>
      <c r="D64" s="1" t="s">
        <v>123</v>
      </c>
      <c r="E64" s="1" t="s">
        <v>138</v>
      </c>
      <c r="F64" s="1" t="str">
        <f>HYPERLINK("https://talan.bank.gov.ua/get-user-certificate/J5325x8onONi-Ict9TBq","Завантажити сертифікат")</f>
        <v>Завантажити сертифікат</v>
      </c>
    </row>
    <row r="65" spans="1:6" x14ac:dyDescent="0.3">
      <c r="A65" s="2">
        <v>64</v>
      </c>
      <c r="B65" s="1" t="s">
        <v>139</v>
      </c>
      <c r="C65" s="1" t="s">
        <v>122</v>
      </c>
      <c r="D65" s="1" t="s">
        <v>123</v>
      </c>
      <c r="E65" s="1" t="s">
        <v>140</v>
      </c>
      <c r="F65" s="1" t="str">
        <f>HYPERLINK("https://talan.bank.gov.ua/get-user-certificate/J5325NgzVbTJNUm0eebk","Завантажити сертифікат")</f>
        <v>Завантажити сертифікат</v>
      </c>
    </row>
    <row r="66" spans="1:6" x14ac:dyDescent="0.3">
      <c r="A66" s="2">
        <v>65</v>
      </c>
      <c r="B66" s="1" t="s">
        <v>141</v>
      </c>
      <c r="C66" s="1" t="s">
        <v>122</v>
      </c>
      <c r="D66" s="1" t="s">
        <v>123</v>
      </c>
      <c r="E66" s="1" t="s">
        <v>142</v>
      </c>
      <c r="F66" s="1" t="str">
        <f>HYPERLINK("https://talan.bank.gov.ua/get-user-certificate/J5325kZMSjVNfjDLgwRz","Завантажити сертифікат")</f>
        <v>Завантажити сертифікат</v>
      </c>
    </row>
    <row r="67" spans="1:6" x14ac:dyDescent="0.3">
      <c r="A67" s="2">
        <v>66</v>
      </c>
      <c r="B67" s="1" t="s">
        <v>143</v>
      </c>
      <c r="C67" s="1" t="s">
        <v>122</v>
      </c>
      <c r="D67" s="1" t="s">
        <v>123</v>
      </c>
      <c r="E67" s="1" t="s">
        <v>144</v>
      </c>
      <c r="F67" s="1" t="str">
        <f>HYPERLINK("https://talan.bank.gov.ua/get-user-certificate/J5325mVTcKM6klpkNPjX","Завантажити сертифікат")</f>
        <v>Завантажити сертифікат</v>
      </c>
    </row>
    <row r="68" spans="1:6" x14ac:dyDescent="0.3">
      <c r="A68" s="2">
        <v>67</v>
      </c>
      <c r="B68" s="1" t="s">
        <v>145</v>
      </c>
      <c r="C68" s="1" t="s">
        <v>122</v>
      </c>
      <c r="D68" s="1" t="s">
        <v>123</v>
      </c>
      <c r="E68" s="1" t="s">
        <v>146</v>
      </c>
      <c r="F68" s="1" t="str">
        <f>HYPERLINK("https://talan.bank.gov.ua/get-user-certificate/J5325cyKW9XHBTu1WU1u","Завантажити сертифікат")</f>
        <v>Завантажити сертифікат</v>
      </c>
    </row>
    <row r="69" spans="1:6" x14ac:dyDescent="0.3">
      <c r="A69" s="2">
        <v>68</v>
      </c>
      <c r="B69" s="1" t="s">
        <v>147</v>
      </c>
      <c r="C69" s="1" t="s">
        <v>122</v>
      </c>
      <c r="D69" s="1" t="s">
        <v>123</v>
      </c>
      <c r="E69" s="1" t="s">
        <v>148</v>
      </c>
      <c r="F69" s="1" t="str">
        <f>HYPERLINK("https://talan.bank.gov.ua/get-user-certificate/J5325lnYARQHIKtGlLHH","Завантажити сертифікат")</f>
        <v>Завантажити сертифікат</v>
      </c>
    </row>
    <row r="70" spans="1:6" x14ac:dyDescent="0.3">
      <c r="A70" s="2">
        <v>69</v>
      </c>
      <c r="B70" s="1" t="s">
        <v>149</v>
      </c>
      <c r="C70" s="1" t="s">
        <v>122</v>
      </c>
      <c r="D70" s="1" t="s">
        <v>123</v>
      </c>
      <c r="E70" s="1" t="s">
        <v>150</v>
      </c>
      <c r="F70" s="1" t="str">
        <f>HYPERLINK("https://talan.bank.gov.ua/get-user-certificate/J53252nJUaxd6cEEQYfg","Завантажити сертифікат")</f>
        <v>Завантажити сертифікат</v>
      </c>
    </row>
    <row r="71" spans="1:6" x14ac:dyDescent="0.3">
      <c r="A71" s="2">
        <v>70</v>
      </c>
      <c r="B71" s="1" t="s">
        <v>151</v>
      </c>
      <c r="C71" s="1" t="s">
        <v>122</v>
      </c>
      <c r="D71" s="1" t="s">
        <v>123</v>
      </c>
      <c r="E71" s="1" t="s">
        <v>152</v>
      </c>
      <c r="F71" s="1" t="str">
        <f>HYPERLINK("https://talan.bank.gov.ua/get-user-certificate/J53253__84lfh8FNxH6r","Завантажити сертифікат")</f>
        <v>Завантажити сертифікат</v>
      </c>
    </row>
    <row r="72" spans="1:6" x14ac:dyDescent="0.3">
      <c r="A72" s="2">
        <v>71</v>
      </c>
      <c r="B72" s="1" t="s">
        <v>153</v>
      </c>
      <c r="C72" s="1" t="s">
        <v>122</v>
      </c>
      <c r="D72" s="1" t="s">
        <v>123</v>
      </c>
      <c r="E72" s="1" t="s">
        <v>154</v>
      </c>
      <c r="F72" s="1" t="str">
        <f>HYPERLINK("https://talan.bank.gov.ua/get-user-certificate/J5325jC0bKeCeSdusVZb","Завантажити сертифікат")</f>
        <v>Завантажити сертифікат</v>
      </c>
    </row>
    <row r="73" spans="1:6" x14ac:dyDescent="0.3">
      <c r="A73" s="2">
        <v>72</v>
      </c>
      <c r="B73" s="1" t="s">
        <v>155</v>
      </c>
      <c r="C73" s="1" t="s">
        <v>122</v>
      </c>
      <c r="D73" s="1" t="s">
        <v>123</v>
      </c>
      <c r="E73" s="1" t="s">
        <v>156</v>
      </c>
      <c r="F73" s="1" t="str">
        <f>HYPERLINK("https://talan.bank.gov.ua/get-user-certificate/J5325HBHjxpSNtIfWQNT","Завантажити сертифікат")</f>
        <v>Завантажити сертифікат</v>
      </c>
    </row>
    <row r="74" spans="1:6" x14ac:dyDescent="0.3">
      <c r="A74" s="2">
        <v>73</v>
      </c>
      <c r="B74" s="1" t="s">
        <v>157</v>
      </c>
      <c r="C74" s="1" t="s">
        <v>122</v>
      </c>
      <c r="D74" s="1" t="s">
        <v>123</v>
      </c>
      <c r="E74" s="1" t="s">
        <v>158</v>
      </c>
      <c r="F74" s="1" t="str">
        <f>HYPERLINK("https://talan.bank.gov.ua/get-user-certificate/J5325gr-lf_GOhn09k0r","Завантажити сертифікат")</f>
        <v>Завантажити сертифікат</v>
      </c>
    </row>
    <row r="75" spans="1:6" ht="28.8" x14ac:dyDescent="0.3">
      <c r="A75" s="2">
        <v>74</v>
      </c>
      <c r="B75" s="1" t="s">
        <v>159</v>
      </c>
      <c r="C75" s="1" t="s">
        <v>160</v>
      </c>
      <c r="D75" s="1" t="s">
        <v>161</v>
      </c>
      <c r="E75" s="1" t="s">
        <v>162</v>
      </c>
      <c r="F75" s="1" t="str">
        <f>HYPERLINK("https://talan.bank.gov.ua/get-user-certificate/J5325aWr1MJivezjbfEM","Завантажити сертифікат")</f>
        <v>Завантажити сертифікат</v>
      </c>
    </row>
    <row r="76" spans="1:6" ht="28.8" x14ac:dyDescent="0.3">
      <c r="A76" s="2">
        <v>75</v>
      </c>
      <c r="B76" s="1" t="s">
        <v>163</v>
      </c>
      <c r="C76" s="1" t="s">
        <v>160</v>
      </c>
      <c r="D76" s="1" t="s">
        <v>161</v>
      </c>
      <c r="E76" s="1" t="s">
        <v>164</v>
      </c>
      <c r="F76" s="1" t="str">
        <f>HYPERLINK("https://talan.bank.gov.ua/get-user-certificate/J53256cfLY3zEjOLDBbk","Завантажити сертифікат")</f>
        <v>Завантажити сертифікат</v>
      </c>
    </row>
    <row r="77" spans="1:6" ht="28.8" x14ac:dyDescent="0.3">
      <c r="A77" s="2">
        <v>76</v>
      </c>
      <c r="B77" s="1" t="s">
        <v>165</v>
      </c>
      <c r="C77" s="1" t="s">
        <v>160</v>
      </c>
      <c r="D77" s="1" t="s">
        <v>161</v>
      </c>
      <c r="E77" s="1" t="s">
        <v>166</v>
      </c>
      <c r="F77" s="1" t="str">
        <f>HYPERLINK("https://talan.bank.gov.ua/get-user-certificate/J5325nwCIkejh9hv0YHH","Завантажити сертифікат")</f>
        <v>Завантажити сертифікат</v>
      </c>
    </row>
    <row r="78" spans="1:6" ht="28.8" x14ac:dyDescent="0.3">
      <c r="A78" s="2">
        <v>77</v>
      </c>
      <c r="B78" s="1" t="s">
        <v>167</v>
      </c>
      <c r="C78" s="1" t="s">
        <v>160</v>
      </c>
      <c r="D78" s="1" t="s">
        <v>161</v>
      </c>
      <c r="E78" s="1" t="s">
        <v>168</v>
      </c>
      <c r="F78" s="1" t="str">
        <f>HYPERLINK("https://talan.bank.gov.ua/get-user-certificate/J5325NV7F_maTb91QtP8","Завантажити сертифікат")</f>
        <v>Завантажити сертифікат</v>
      </c>
    </row>
    <row r="79" spans="1:6" ht="28.8" x14ac:dyDescent="0.3">
      <c r="A79" s="2">
        <v>78</v>
      </c>
      <c r="B79" s="1" t="s">
        <v>169</v>
      </c>
      <c r="C79" s="1" t="s">
        <v>160</v>
      </c>
      <c r="D79" s="1" t="s">
        <v>161</v>
      </c>
      <c r="E79" s="1" t="s">
        <v>170</v>
      </c>
      <c r="F79" s="1" t="str">
        <f>HYPERLINK("https://talan.bank.gov.ua/get-user-certificate/J5325ZrUxCar-f_BxbCv","Завантажити сертифікат")</f>
        <v>Завантажити сертифікат</v>
      </c>
    </row>
    <row r="80" spans="1:6" ht="28.8" x14ac:dyDescent="0.3">
      <c r="A80" s="2">
        <v>79</v>
      </c>
      <c r="B80" s="1" t="s">
        <v>171</v>
      </c>
      <c r="C80" s="1" t="s">
        <v>160</v>
      </c>
      <c r="D80" s="1" t="s">
        <v>161</v>
      </c>
      <c r="E80" s="1" t="s">
        <v>172</v>
      </c>
      <c r="F80" s="1" t="str">
        <f>HYPERLINK("https://talan.bank.gov.ua/get-user-certificate/J53258BIbjpM2NyQRiio","Завантажити сертифікат")</f>
        <v>Завантажити сертифікат</v>
      </c>
    </row>
    <row r="81" spans="1:6" ht="28.8" x14ac:dyDescent="0.3">
      <c r="A81" s="2">
        <v>80</v>
      </c>
      <c r="B81" s="1" t="s">
        <v>173</v>
      </c>
      <c r="C81" s="1" t="s">
        <v>160</v>
      </c>
      <c r="D81" s="1" t="s">
        <v>161</v>
      </c>
      <c r="E81" s="1" t="s">
        <v>174</v>
      </c>
      <c r="F81" s="1" t="str">
        <f>HYPERLINK("https://talan.bank.gov.ua/get-user-certificate/J5325Gx7zXmbITuLDb8M","Завантажити сертифікат")</f>
        <v>Завантажити сертифікат</v>
      </c>
    </row>
    <row r="82" spans="1:6" ht="28.8" x14ac:dyDescent="0.3">
      <c r="A82" s="2">
        <v>81</v>
      </c>
      <c r="B82" s="1" t="s">
        <v>175</v>
      </c>
      <c r="C82" s="1" t="s">
        <v>160</v>
      </c>
      <c r="D82" s="1" t="s">
        <v>161</v>
      </c>
      <c r="E82" s="1" t="s">
        <v>176</v>
      </c>
      <c r="F82" s="1" t="str">
        <f>HYPERLINK("https://talan.bank.gov.ua/get-user-certificate/J5325VOG_nrq0-zGf3yW","Завантажити сертифікат")</f>
        <v>Завантажити сертифікат</v>
      </c>
    </row>
    <row r="83" spans="1:6" ht="28.8" x14ac:dyDescent="0.3">
      <c r="A83" s="2">
        <v>82</v>
      </c>
      <c r="B83" s="1" t="s">
        <v>177</v>
      </c>
      <c r="C83" s="1" t="s">
        <v>160</v>
      </c>
      <c r="D83" s="1" t="s">
        <v>161</v>
      </c>
      <c r="E83" s="1" t="s">
        <v>178</v>
      </c>
      <c r="F83" s="1" t="str">
        <f>HYPERLINK("https://talan.bank.gov.ua/get-user-certificate/J5325816G7tq1lESCTKa","Завантажити сертифікат")</f>
        <v>Завантажити сертифікат</v>
      </c>
    </row>
    <row r="84" spans="1:6" ht="28.8" x14ac:dyDescent="0.3">
      <c r="A84" s="2">
        <v>83</v>
      </c>
      <c r="B84" s="1" t="s">
        <v>179</v>
      </c>
      <c r="C84" s="1" t="s">
        <v>160</v>
      </c>
      <c r="D84" s="1" t="s">
        <v>161</v>
      </c>
      <c r="E84" s="1" t="s">
        <v>180</v>
      </c>
      <c r="F84" s="1" t="str">
        <f>HYPERLINK("https://talan.bank.gov.ua/get-user-certificate/J5325MzppgrtbMsDkIfM","Завантажити сертифікат")</f>
        <v>Завантажити сертифікат</v>
      </c>
    </row>
    <row r="85" spans="1:6" ht="28.8" x14ac:dyDescent="0.3">
      <c r="A85" s="2">
        <v>84</v>
      </c>
      <c r="B85" s="1" t="s">
        <v>181</v>
      </c>
      <c r="C85" s="1" t="s">
        <v>160</v>
      </c>
      <c r="D85" s="1" t="s">
        <v>161</v>
      </c>
      <c r="E85" s="1" t="s">
        <v>182</v>
      </c>
      <c r="F85" s="1" t="str">
        <f>HYPERLINK("https://talan.bank.gov.ua/get-user-certificate/J5325mIYX5OkgG4uzmjK","Завантажити сертифікат")</f>
        <v>Завантажити сертифікат</v>
      </c>
    </row>
    <row r="86" spans="1:6" ht="28.8" x14ac:dyDescent="0.3">
      <c r="A86" s="2">
        <v>85</v>
      </c>
      <c r="B86" s="1" t="s">
        <v>183</v>
      </c>
      <c r="C86" s="1" t="s">
        <v>160</v>
      </c>
      <c r="D86" s="1" t="s">
        <v>161</v>
      </c>
      <c r="E86" s="1" t="s">
        <v>184</v>
      </c>
      <c r="F86" s="1" t="str">
        <f>HYPERLINK("https://talan.bank.gov.ua/get-user-certificate/J53252v7K0YpVpE_GxEW","Завантажити сертифікат")</f>
        <v>Завантажити сертифікат</v>
      </c>
    </row>
    <row r="87" spans="1:6" ht="28.8" x14ac:dyDescent="0.3">
      <c r="A87" s="2">
        <v>86</v>
      </c>
      <c r="B87" s="1" t="s">
        <v>185</v>
      </c>
      <c r="C87" s="1" t="s">
        <v>160</v>
      </c>
      <c r="D87" s="1" t="s">
        <v>161</v>
      </c>
      <c r="E87" s="1" t="s">
        <v>186</v>
      </c>
      <c r="F87" s="1" t="str">
        <f>HYPERLINK("https://talan.bank.gov.ua/get-user-certificate/J5325MuhN7heEqB-Voe3","Завантажити сертифікат")</f>
        <v>Завантажити сертифікат</v>
      </c>
    </row>
    <row r="88" spans="1:6" ht="28.8" x14ac:dyDescent="0.3">
      <c r="A88" s="2">
        <v>87</v>
      </c>
      <c r="B88" s="1" t="s">
        <v>187</v>
      </c>
      <c r="C88" s="1" t="s">
        <v>160</v>
      </c>
      <c r="D88" s="1" t="s">
        <v>161</v>
      </c>
      <c r="E88" s="1" t="s">
        <v>188</v>
      </c>
      <c r="F88" s="1" t="str">
        <f>HYPERLINK("https://talan.bank.gov.ua/get-user-certificate/J5325pQwmB0RcZVXnR2L","Завантажити сертифікат")</f>
        <v>Завантажити сертифікат</v>
      </c>
    </row>
    <row r="89" spans="1:6" ht="28.8" x14ac:dyDescent="0.3">
      <c r="A89" s="2">
        <v>88</v>
      </c>
      <c r="B89" s="1" t="s">
        <v>189</v>
      </c>
      <c r="C89" s="1" t="s">
        <v>160</v>
      </c>
      <c r="D89" s="1" t="s">
        <v>161</v>
      </c>
      <c r="E89" s="1" t="s">
        <v>190</v>
      </c>
      <c r="F89" s="1" t="str">
        <f>HYPERLINK("https://talan.bank.gov.ua/get-user-certificate/J5325DajUHwIU5nZ_l_N","Завантажити сертифікат")</f>
        <v>Завантажити сертифікат</v>
      </c>
    </row>
    <row r="90" spans="1:6" ht="28.8" x14ac:dyDescent="0.3">
      <c r="A90" s="2">
        <v>89</v>
      </c>
      <c r="B90" s="1" t="s">
        <v>191</v>
      </c>
      <c r="C90" s="1" t="s">
        <v>160</v>
      </c>
      <c r="D90" s="1" t="s">
        <v>161</v>
      </c>
      <c r="E90" s="1" t="s">
        <v>192</v>
      </c>
      <c r="F90" s="1" t="str">
        <f>HYPERLINK("https://talan.bank.gov.ua/get-user-certificate/J5325n5fsuFjCI1QTMME","Завантажити сертифікат")</f>
        <v>Завантажити сертифікат</v>
      </c>
    </row>
    <row r="91" spans="1:6" ht="28.8" x14ac:dyDescent="0.3">
      <c r="A91" s="2">
        <v>90</v>
      </c>
      <c r="B91" s="1" t="s">
        <v>193</v>
      </c>
      <c r="C91" s="1" t="s">
        <v>160</v>
      </c>
      <c r="D91" s="1" t="s">
        <v>161</v>
      </c>
      <c r="E91" s="1" t="s">
        <v>194</v>
      </c>
      <c r="F91" s="1" t="str">
        <f>HYPERLINK("https://talan.bank.gov.ua/get-user-certificate/J5325OC9FFczh_H4CPVq","Завантажити сертифікат")</f>
        <v>Завантажити сертифікат</v>
      </c>
    </row>
    <row r="92" spans="1:6" ht="28.8" x14ac:dyDescent="0.3">
      <c r="A92" s="2">
        <v>91</v>
      </c>
      <c r="B92" s="1" t="s">
        <v>195</v>
      </c>
      <c r="C92" s="1" t="s">
        <v>160</v>
      </c>
      <c r="D92" s="1" t="s">
        <v>161</v>
      </c>
      <c r="E92" s="1" t="s">
        <v>196</v>
      </c>
      <c r="F92" s="1" t="str">
        <f>HYPERLINK("https://talan.bank.gov.ua/get-user-certificate/J5325NA9bKR3sG9Sh7Za","Завантажити сертифікат")</f>
        <v>Завантажити сертифікат</v>
      </c>
    </row>
    <row r="93" spans="1:6" ht="28.8" x14ac:dyDescent="0.3">
      <c r="A93" s="2">
        <v>92</v>
      </c>
      <c r="B93" s="1" t="s">
        <v>197</v>
      </c>
      <c r="C93" s="1" t="s">
        <v>160</v>
      </c>
      <c r="D93" s="1" t="s">
        <v>161</v>
      </c>
      <c r="E93" s="1" t="s">
        <v>198</v>
      </c>
      <c r="F93" s="1" t="str">
        <f>HYPERLINK("https://talan.bank.gov.ua/get-user-certificate/J53251KyeBcGRRr01Z8R","Завантажити сертифікат")</f>
        <v>Завантажити сертифікат</v>
      </c>
    </row>
    <row r="94" spans="1:6" ht="28.8" x14ac:dyDescent="0.3">
      <c r="A94" s="2">
        <v>93</v>
      </c>
      <c r="B94" s="1" t="s">
        <v>199</v>
      </c>
      <c r="C94" s="1" t="s">
        <v>160</v>
      </c>
      <c r="D94" s="1" t="s">
        <v>161</v>
      </c>
      <c r="E94" s="1" t="s">
        <v>200</v>
      </c>
      <c r="F94" s="1" t="str">
        <f>HYPERLINK("https://talan.bank.gov.ua/get-user-certificate/J53252Wl1Sm8986z7Mmd","Завантажити сертифікат")</f>
        <v>Завантажити сертифікат</v>
      </c>
    </row>
    <row r="95" spans="1:6" ht="28.8" x14ac:dyDescent="0.3">
      <c r="A95" s="2">
        <v>94</v>
      </c>
      <c r="B95" s="1" t="s">
        <v>201</v>
      </c>
      <c r="C95" s="1" t="s">
        <v>160</v>
      </c>
      <c r="D95" s="1" t="s">
        <v>161</v>
      </c>
      <c r="E95" s="1" t="s">
        <v>202</v>
      </c>
      <c r="F95" s="1" t="str">
        <f>HYPERLINK("https://talan.bank.gov.ua/get-user-certificate/J5325paC0rNnRMkkhCdF","Завантажити сертифікат")</f>
        <v>Завантажити сертифікат</v>
      </c>
    </row>
    <row r="96" spans="1:6" ht="28.8" x14ac:dyDescent="0.3">
      <c r="A96" s="2">
        <v>95</v>
      </c>
      <c r="B96" s="1" t="s">
        <v>203</v>
      </c>
      <c r="C96" s="1" t="s">
        <v>204</v>
      </c>
      <c r="D96" s="1" t="s">
        <v>205</v>
      </c>
      <c r="E96" s="1" t="s">
        <v>206</v>
      </c>
      <c r="F96" s="1" t="str">
        <f>HYPERLINK("https://talan.bank.gov.ua/get-user-certificate/J5325xNDiOTO4Uay9r4B","Завантажити сертифікат")</f>
        <v>Завантажити сертифікат</v>
      </c>
    </row>
    <row r="97" spans="1:6" ht="28.8" x14ac:dyDescent="0.3">
      <c r="A97" s="2">
        <v>96</v>
      </c>
      <c r="B97" s="1" t="s">
        <v>207</v>
      </c>
      <c r="C97" s="1" t="s">
        <v>204</v>
      </c>
      <c r="D97" s="1" t="s">
        <v>205</v>
      </c>
      <c r="E97" s="1" t="s">
        <v>208</v>
      </c>
      <c r="F97" s="1" t="str">
        <f>HYPERLINK("https://talan.bank.gov.ua/get-user-certificate/J5325FaOWpN8MJOnUxEy","Завантажити сертифікат")</f>
        <v>Завантажити сертифікат</v>
      </c>
    </row>
    <row r="98" spans="1:6" ht="28.8" x14ac:dyDescent="0.3">
      <c r="A98" s="2">
        <v>97</v>
      </c>
      <c r="B98" s="1" t="s">
        <v>209</v>
      </c>
      <c r="C98" s="1" t="s">
        <v>204</v>
      </c>
      <c r="D98" s="1" t="s">
        <v>205</v>
      </c>
      <c r="E98" s="1" t="s">
        <v>210</v>
      </c>
      <c r="F98" s="1" t="str">
        <f>HYPERLINK("https://talan.bank.gov.ua/get-user-certificate/J5325GoN-KNkOYgAhT5m","Завантажити сертифікат")</f>
        <v>Завантажити сертифікат</v>
      </c>
    </row>
    <row r="99" spans="1:6" ht="28.8" x14ac:dyDescent="0.3">
      <c r="A99" s="2">
        <v>98</v>
      </c>
      <c r="B99" s="1" t="s">
        <v>211</v>
      </c>
      <c r="C99" s="1" t="s">
        <v>204</v>
      </c>
      <c r="D99" s="1" t="s">
        <v>205</v>
      </c>
      <c r="E99" s="1" t="s">
        <v>212</v>
      </c>
      <c r="F99" s="1" t="str">
        <f>HYPERLINK("https://talan.bank.gov.ua/get-user-certificate/J5325dTVQIEPyQwTXZ5U","Завантажити сертифікат")</f>
        <v>Завантажити сертифікат</v>
      </c>
    </row>
    <row r="100" spans="1:6" ht="28.8" x14ac:dyDescent="0.3">
      <c r="A100" s="2">
        <v>99</v>
      </c>
      <c r="B100" s="1" t="s">
        <v>213</v>
      </c>
      <c r="C100" s="1" t="s">
        <v>204</v>
      </c>
      <c r="D100" s="1" t="s">
        <v>205</v>
      </c>
      <c r="E100" s="1" t="s">
        <v>214</v>
      </c>
      <c r="F100" s="1" t="str">
        <f>HYPERLINK("https://talan.bank.gov.ua/get-user-certificate/J5325Qm2uKGcPYdPGprB","Завантажити сертифікат")</f>
        <v>Завантажити сертифікат</v>
      </c>
    </row>
    <row r="101" spans="1:6" ht="28.8" x14ac:dyDescent="0.3">
      <c r="A101" s="2">
        <v>100</v>
      </c>
      <c r="B101" s="1" t="s">
        <v>215</v>
      </c>
      <c r="C101" s="1" t="s">
        <v>204</v>
      </c>
      <c r="D101" s="1" t="s">
        <v>205</v>
      </c>
      <c r="E101" s="1" t="s">
        <v>216</v>
      </c>
      <c r="F101" s="1" t="str">
        <f>HYPERLINK("https://talan.bank.gov.ua/get-user-certificate/J5325JiQMjRugWZP0PP7","Завантажити сертифікат")</f>
        <v>Завантажити сертифікат</v>
      </c>
    </row>
    <row r="102" spans="1:6" ht="28.8" x14ac:dyDescent="0.3">
      <c r="A102" s="2">
        <v>101</v>
      </c>
      <c r="B102" s="1" t="s">
        <v>217</v>
      </c>
      <c r="C102" s="1" t="s">
        <v>204</v>
      </c>
      <c r="D102" s="1" t="s">
        <v>205</v>
      </c>
      <c r="E102" s="1" t="s">
        <v>218</v>
      </c>
      <c r="F102" s="1" t="str">
        <f>HYPERLINK("https://talan.bank.gov.ua/get-user-certificate/J5325Hfs5ZQ3mUkEaHrJ","Завантажити сертифікат")</f>
        <v>Завантажити сертифікат</v>
      </c>
    </row>
    <row r="103" spans="1:6" ht="28.8" x14ac:dyDescent="0.3">
      <c r="A103" s="2">
        <v>102</v>
      </c>
      <c r="B103" s="1" t="s">
        <v>219</v>
      </c>
      <c r="C103" s="1" t="s">
        <v>204</v>
      </c>
      <c r="D103" s="1" t="s">
        <v>205</v>
      </c>
      <c r="E103" s="1" t="s">
        <v>220</v>
      </c>
      <c r="F103" s="1" t="str">
        <f>HYPERLINK("https://talan.bank.gov.ua/get-user-certificate/J5325VvwsumS-6RthIeP","Завантажити сертифікат")</f>
        <v>Завантажити сертифікат</v>
      </c>
    </row>
    <row r="104" spans="1:6" ht="28.8" x14ac:dyDescent="0.3">
      <c r="A104" s="2">
        <v>103</v>
      </c>
      <c r="B104" s="1" t="s">
        <v>221</v>
      </c>
      <c r="C104" s="1" t="s">
        <v>204</v>
      </c>
      <c r="D104" s="1" t="s">
        <v>205</v>
      </c>
      <c r="E104" s="1" t="s">
        <v>222</v>
      </c>
      <c r="F104" s="1" t="str">
        <f>HYPERLINK("https://talan.bank.gov.ua/get-user-certificate/J5325Mf8KJu9Vc7rRohc","Завантажити сертифікат")</f>
        <v>Завантажити сертифікат</v>
      </c>
    </row>
    <row r="105" spans="1:6" ht="28.8" x14ac:dyDescent="0.3">
      <c r="A105" s="2">
        <v>104</v>
      </c>
      <c r="B105" s="1" t="s">
        <v>223</v>
      </c>
      <c r="C105" s="1" t="s">
        <v>204</v>
      </c>
      <c r="D105" s="1" t="s">
        <v>205</v>
      </c>
      <c r="E105" s="1" t="s">
        <v>224</v>
      </c>
      <c r="F105" s="1" t="str">
        <f>HYPERLINK("https://talan.bank.gov.ua/get-user-certificate/J5325Zsx_tDjqNRJpf47","Завантажити сертифікат")</f>
        <v>Завантажити сертифікат</v>
      </c>
    </row>
    <row r="106" spans="1:6" ht="28.8" x14ac:dyDescent="0.3">
      <c r="A106" s="2">
        <v>105</v>
      </c>
      <c r="B106" s="1" t="s">
        <v>225</v>
      </c>
      <c r="C106" s="1" t="s">
        <v>204</v>
      </c>
      <c r="D106" s="1" t="s">
        <v>205</v>
      </c>
      <c r="E106" s="1" t="s">
        <v>226</v>
      </c>
      <c r="F106" s="1" t="str">
        <f>HYPERLINK("https://talan.bank.gov.ua/get-user-certificate/J5325Ne-DmtEFxF0dJjK","Завантажити сертифікат")</f>
        <v>Завантажити сертифікат</v>
      </c>
    </row>
    <row r="107" spans="1:6" ht="28.8" x14ac:dyDescent="0.3">
      <c r="A107" s="2">
        <v>106</v>
      </c>
      <c r="B107" s="1" t="s">
        <v>227</v>
      </c>
      <c r="C107" s="1" t="s">
        <v>204</v>
      </c>
      <c r="D107" s="1" t="s">
        <v>205</v>
      </c>
      <c r="E107" s="1" t="s">
        <v>228</v>
      </c>
      <c r="F107" s="1" t="str">
        <f>HYPERLINK("https://talan.bank.gov.ua/get-user-certificate/J5325qbiqbSnFldcPUDG","Завантажити сертифікат")</f>
        <v>Завантажити сертифікат</v>
      </c>
    </row>
    <row r="108" spans="1:6" x14ac:dyDescent="0.3">
      <c r="A108" s="2">
        <v>107</v>
      </c>
      <c r="B108" s="1" t="s">
        <v>229</v>
      </c>
      <c r="C108" s="1" t="s">
        <v>230</v>
      </c>
      <c r="D108" s="1" t="s">
        <v>231</v>
      </c>
      <c r="E108" s="1" t="s">
        <v>232</v>
      </c>
      <c r="F108" s="1" t="str">
        <f>HYPERLINK("https://talan.bank.gov.ua/get-user-certificate/J5325vuribuGcxr2OI3l","Завантажити сертифікат")</f>
        <v>Завантажити сертифікат</v>
      </c>
    </row>
    <row r="109" spans="1:6" ht="28.8" x14ac:dyDescent="0.3">
      <c r="A109" s="2">
        <v>108</v>
      </c>
      <c r="B109" s="1" t="s">
        <v>233</v>
      </c>
      <c r="C109" s="1" t="s">
        <v>230</v>
      </c>
      <c r="D109" s="1" t="s">
        <v>231</v>
      </c>
      <c r="E109" s="1" t="s">
        <v>234</v>
      </c>
      <c r="F109" s="1" t="str">
        <f>HYPERLINK("https://talan.bank.gov.ua/get-user-certificate/J5325PZsA_MMn3RpbVuV","Завантажити сертифікат")</f>
        <v>Завантажити сертифікат</v>
      </c>
    </row>
    <row r="110" spans="1:6" x14ac:dyDescent="0.3">
      <c r="A110" s="2">
        <v>109</v>
      </c>
      <c r="B110" s="1" t="s">
        <v>235</v>
      </c>
      <c r="C110" s="1" t="s">
        <v>230</v>
      </c>
      <c r="D110" s="1" t="s">
        <v>231</v>
      </c>
      <c r="E110" s="1" t="s">
        <v>236</v>
      </c>
      <c r="F110" s="1" t="str">
        <f>HYPERLINK("https://talan.bank.gov.ua/get-user-certificate/J5325CeOe2YB9f_vBMiq","Завантажити сертифікат")</f>
        <v>Завантажити сертифікат</v>
      </c>
    </row>
    <row r="111" spans="1:6" x14ac:dyDescent="0.3">
      <c r="A111" s="2">
        <v>110</v>
      </c>
      <c r="B111" s="1" t="s">
        <v>237</v>
      </c>
      <c r="C111" s="1" t="s">
        <v>230</v>
      </c>
      <c r="D111" s="1" t="s">
        <v>231</v>
      </c>
      <c r="E111" s="1" t="s">
        <v>238</v>
      </c>
      <c r="F111" s="1" t="str">
        <f>HYPERLINK("https://talan.bank.gov.ua/get-user-certificate/J5325NYQ4u5QfcslF903","Завантажити сертифікат")</f>
        <v>Завантажити сертифікат</v>
      </c>
    </row>
    <row r="112" spans="1:6" x14ac:dyDescent="0.3">
      <c r="A112" s="2">
        <v>111</v>
      </c>
      <c r="B112" s="1" t="s">
        <v>239</v>
      </c>
      <c r="C112" s="1" t="s">
        <v>230</v>
      </c>
      <c r="D112" s="1" t="s">
        <v>231</v>
      </c>
      <c r="E112" s="1" t="s">
        <v>240</v>
      </c>
      <c r="F112" s="1" t="str">
        <f>HYPERLINK("https://talan.bank.gov.ua/get-user-certificate/J5325ppUJHkL3ZPdTB7d","Завантажити сертифікат")</f>
        <v>Завантажити сертифікат</v>
      </c>
    </row>
    <row r="113" spans="1:6" x14ac:dyDescent="0.3">
      <c r="A113" s="2">
        <v>112</v>
      </c>
      <c r="B113" s="1" t="s">
        <v>241</v>
      </c>
      <c r="C113" s="1" t="s">
        <v>230</v>
      </c>
      <c r="D113" s="1" t="s">
        <v>231</v>
      </c>
      <c r="E113" s="1" t="s">
        <v>242</v>
      </c>
      <c r="F113" s="1" t="str">
        <f>HYPERLINK("https://talan.bank.gov.ua/get-user-certificate/J5325ZAYMz4mNr6BBcj4","Завантажити сертифікат")</f>
        <v>Завантажити сертифікат</v>
      </c>
    </row>
    <row r="114" spans="1:6" x14ac:dyDescent="0.3">
      <c r="A114" s="2">
        <v>113</v>
      </c>
      <c r="B114" s="1" t="s">
        <v>243</v>
      </c>
      <c r="C114" s="1" t="s">
        <v>230</v>
      </c>
      <c r="D114" s="1" t="s">
        <v>231</v>
      </c>
      <c r="E114" s="1" t="s">
        <v>244</v>
      </c>
      <c r="F114" s="1" t="str">
        <f>HYPERLINK("https://talan.bank.gov.ua/get-user-certificate/J5325NZa9bVtqnY2wipx","Завантажити сертифікат")</f>
        <v>Завантажити сертифікат</v>
      </c>
    </row>
    <row r="115" spans="1:6" x14ac:dyDescent="0.3">
      <c r="A115" s="2">
        <v>114</v>
      </c>
      <c r="B115" s="1" t="s">
        <v>245</v>
      </c>
      <c r="C115" s="1" t="s">
        <v>230</v>
      </c>
      <c r="D115" s="1" t="s">
        <v>231</v>
      </c>
      <c r="E115" s="1" t="s">
        <v>246</v>
      </c>
      <c r="F115" s="1" t="str">
        <f>HYPERLINK("https://talan.bank.gov.ua/get-user-certificate/J53254G6M4O0XPyLBi1h","Завантажити сертифікат")</f>
        <v>Завантажити сертифікат</v>
      </c>
    </row>
    <row r="116" spans="1:6" x14ac:dyDescent="0.3">
      <c r="A116" s="2">
        <v>115</v>
      </c>
      <c r="B116" s="1" t="s">
        <v>247</v>
      </c>
      <c r="C116" s="1" t="s">
        <v>230</v>
      </c>
      <c r="D116" s="1" t="s">
        <v>231</v>
      </c>
      <c r="E116" s="1" t="s">
        <v>248</v>
      </c>
      <c r="F116" s="1" t="str">
        <f>HYPERLINK("https://talan.bank.gov.ua/get-user-certificate/J5325nl4OLAi1-gFUUGg","Завантажити сертифікат")</f>
        <v>Завантажити сертифікат</v>
      </c>
    </row>
    <row r="117" spans="1:6" x14ac:dyDescent="0.3">
      <c r="A117" s="2">
        <v>116</v>
      </c>
      <c r="B117" s="1" t="s">
        <v>249</v>
      </c>
      <c r="C117" s="1" t="s">
        <v>230</v>
      </c>
      <c r="D117" s="1" t="s">
        <v>231</v>
      </c>
      <c r="E117" s="1" t="s">
        <v>250</v>
      </c>
      <c r="F117" s="1" t="str">
        <f>HYPERLINK("https://talan.bank.gov.ua/get-user-certificate/J5325WCxUfp_AJ1Urxhx","Завантажити сертифікат")</f>
        <v>Завантажити сертифікат</v>
      </c>
    </row>
    <row r="118" spans="1:6" x14ac:dyDescent="0.3">
      <c r="A118" s="2">
        <v>117</v>
      </c>
      <c r="B118" s="1" t="s">
        <v>251</v>
      </c>
      <c r="C118" s="1" t="s">
        <v>230</v>
      </c>
      <c r="D118" s="1" t="s">
        <v>231</v>
      </c>
      <c r="E118" s="1" t="s">
        <v>252</v>
      </c>
      <c r="F118" s="1" t="str">
        <f>HYPERLINK("https://talan.bank.gov.ua/get-user-certificate/J5325ljAxMS95_xRQ0jT","Завантажити сертифікат")</f>
        <v>Завантажити сертифікат</v>
      </c>
    </row>
    <row r="119" spans="1:6" s="7" customFormat="1" x14ac:dyDescent="0.3">
      <c r="A119" s="5">
        <v>118</v>
      </c>
      <c r="B119" s="6" t="s">
        <v>253</v>
      </c>
      <c r="C119" s="6" t="s">
        <v>254</v>
      </c>
      <c r="D119" s="6" t="s">
        <v>8987</v>
      </c>
      <c r="E119" s="6" t="s">
        <v>255</v>
      </c>
      <c r="F119" s="6" t="str">
        <f>HYPERLINK("https://talan.bank.gov.ua/get-user-certificate/CYWPHM1Lu-_2aQ3AGK5E","Завантажити сертифікат")</f>
        <v>Завантажити сертифікат</v>
      </c>
    </row>
    <row r="120" spans="1:6" s="7" customFormat="1" x14ac:dyDescent="0.3">
      <c r="A120" s="5">
        <v>119</v>
      </c>
      <c r="B120" s="6" t="s">
        <v>256</v>
      </c>
      <c r="C120" s="6" t="s">
        <v>254</v>
      </c>
      <c r="D120" s="6" t="s">
        <v>8987</v>
      </c>
      <c r="E120" s="6" t="s">
        <v>257</v>
      </c>
      <c r="F120" s="6" t="str">
        <f>HYPERLINK("https://talan.bank.gov.ua/get-user-certificate/CYWPHkz82GQL1QWTx0Hf","Завантажити сертифікат")</f>
        <v>Завантажити сертифікат</v>
      </c>
    </row>
    <row r="121" spans="1:6" s="7" customFormat="1" x14ac:dyDescent="0.3">
      <c r="A121" s="5">
        <v>120</v>
      </c>
      <c r="B121" s="6" t="s">
        <v>258</v>
      </c>
      <c r="C121" s="6" t="s">
        <v>254</v>
      </c>
      <c r="D121" s="6" t="s">
        <v>8987</v>
      </c>
      <c r="E121" s="6" t="s">
        <v>259</v>
      </c>
      <c r="F121" s="6" t="str">
        <f>HYPERLINK("https://talan.bank.gov.ua/get-user-certificate/CYWPHi2alYlGPxGoOZRn","Завантажити сертифікат")</f>
        <v>Завантажити сертифікат</v>
      </c>
    </row>
    <row r="122" spans="1:6" s="7" customFormat="1" x14ac:dyDescent="0.3">
      <c r="A122" s="5">
        <v>121</v>
      </c>
      <c r="B122" s="6" t="s">
        <v>260</v>
      </c>
      <c r="C122" s="6" t="s">
        <v>254</v>
      </c>
      <c r="D122" s="6" t="s">
        <v>8987</v>
      </c>
      <c r="E122" s="6" t="s">
        <v>261</v>
      </c>
      <c r="F122" s="6" t="str">
        <f>HYPERLINK("https://talan.bank.gov.ua/get-user-certificate/CYWPHWKGcN6TqFlG739d","Завантажити сертифікат")</f>
        <v>Завантажити сертифікат</v>
      </c>
    </row>
    <row r="123" spans="1:6" s="7" customFormat="1" x14ac:dyDescent="0.3">
      <c r="A123" s="5">
        <v>122</v>
      </c>
      <c r="B123" s="6" t="s">
        <v>262</v>
      </c>
      <c r="C123" s="6" t="s">
        <v>254</v>
      </c>
      <c r="D123" s="6" t="s">
        <v>8987</v>
      </c>
      <c r="E123" s="6" t="s">
        <v>263</v>
      </c>
      <c r="F123" s="6" t="str">
        <f>HYPERLINK("https://talan.bank.gov.ua/get-user-certificate/CYWPH_76PjDySyWRQsD3","Завантажити сертифікат")</f>
        <v>Завантажити сертифікат</v>
      </c>
    </row>
    <row r="124" spans="1:6" s="7" customFormat="1" x14ac:dyDescent="0.3">
      <c r="A124" s="5">
        <v>123</v>
      </c>
      <c r="B124" s="6" t="s">
        <v>264</v>
      </c>
      <c r="C124" s="6" t="s">
        <v>254</v>
      </c>
      <c r="D124" s="6" t="s">
        <v>8987</v>
      </c>
      <c r="E124" s="6" t="s">
        <v>265</v>
      </c>
      <c r="F124" s="6" t="str">
        <f>HYPERLINK("https://talan.bank.gov.ua/get-user-certificate/CYWPH__dhrxhaEWhoPVw","Завантажити сертифікат")</f>
        <v>Завантажити сертифікат</v>
      </c>
    </row>
    <row r="125" spans="1:6" s="7" customFormat="1" x14ac:dyDescent="0.3">
      <c r="A125" s="5">
        <v>124</v>
      </c>
      <c r="B125" s="6" t="s">
        <v>266</v>
      </c>
      <c r="C125" s="6" t="s">
        <v>254</v>
      </c>
      <c r="D125" s="6" t="s">
        <v>8987</v>
      </c>
      <c r="E125" s="6" t="s">
        <v>267</v>
      </c>
      <c r="F125" s="6" t="str">
        <f>HYPERLINK("https://talan.bank.gov.ua/get-user-certificate/CYWPHnNl8OZm3peSR9WE","Завантажити сертифікат")</f>
        <v>Завантажити сертифікат</v>
      </c>
    </row>
    <row r="126" spans="1:6" s="7" customFormat="1" x14ac:dyDescent="0.3">
      <c r="A126" s="5">
        <v>125</v>
      </c>
      <c r="B126" s="6" t="s">
        <v>268</v>
      </c>
      <c r="C126" s="6" t="s">
        <v>254</v>
      </c>
      <c r="D126" s="6" t="s">
        <v>8987</v>
      </c>
      <c r="E126" s="6" t="s">
        <v>269</v>
      </c>
      <c r="F126" s="6" t="str">
        <f>HYPERLINK("https://talan.bank.gov.ua/get-user-certificate/CYWPH0jv3-34fZBLB7eF","Завантажити сертифікат")</f>
        <v>Завантажити сертифікат</v>
      </c>
    </row>
    <row r="127" spans="1:6" s="7" customFormat="1" x14ac:dyDescent="0.3">
      <c r="A127" s="5">
        <v>126</v>
      </c>
      <c r="B127" s="6" t="s">
        <v>270</v>
      </c>
      <c r="C127" s="6" t="s">
        <v>254</v>
      </c>
      <c r="D127" s="6" t="s">
        <v>8987</v>
      </c>
      <c r="E127" s="6" t="s">
        <v>271</v>
      </c>
      <c r="F127" s="6" t="str">
        <f>HYPERLINK("https://talan.bank.gov.ua/get-user-certificate/CYWPHtT04Hx_lFdXY8lG","Завантажити сертифікат")</f>
        <v>Завантажити сертифікат</v>
      </c>
    </row>
    <row r="128" spans="1:6" ht="28.8" x14ac:dyDescent="0.3">
      <c r="A128" s="2">
        <v>127</v>
      </c>
      <c r="B128" s="1" t="s">
        <v>272</v>
      </c>
      <c r="C128" s="1" t="s">
        <v>273</v>
      </c>
      <c r="D128" s="1" t="s">
        <v>274</v>
      </c>
      <c r="E128" s="1" t="s">
        <v>275</v>
      </c>
      <c r="F128" s="1" t="str">
        <f>HYPERLINK("https://talan.bank.gov.ua/get-user-certificate/J5325dWTZnHmVzQCOMXm","Завантажити сертифікат")</f>
        <v>Завантажити сертифікат</v>
      </c>
    </row>
    <row r="129" spans="1:6" ht="28.8" x14ac:dyDescent="0.3">
      <c r="A129" s="2">
        <v>128</v>
      </c>
      <c r="B129" s="1" t="s">
        <v>276</v>
      </c>
      <c r="C129" s="1" t="s">
        <v>273</v>
      </c>
      <c r="D129" s="1" t="s">
        <v>274</v>
      </c>
      <c r="E129" s="1" t="s">
        <v>277</v>
      </c>
      <c r="F129" s="1" t="str">
        <f>HYPERLINK("https://talan.bank.gov.ua/get-user-certificate/J5325CD1oFJI7IqoM03r","Завантажити сертифікат")</f>
        <v>Завантажити сертифікат</v>
      </c>
    </row>
    <row r="130" spans="1:6" ht="28.8" x14ac:dyDescent="0.3">
      <c r="A130" s="2">
        <v>129</v>
      </c>
      <c r="B130" s="1" t="s">
        <v>278</v>
      </c>
      <c r="C130" s="1" t="s">
        <v>273</v>
      </c>
      <c r="D130" s="1" t="s">
        <v>274</v>
      </c>
      <c r="E130" s="1" t="s">
        <v>279</v>
      </c>
      <c r="F130" s="1" t="str">
        <f>HYPERLINK("https://talan.bank.gov.ua/get-user-certificate/J5325oRCIt7oLQmNbLHm","Завантажити сертифікат")</f>
        <v>Завантажити сертифікат</v>
      </c>
    </row>
    <row r="131" spans="1:6" ht="28.8" x14ac:dyDescent="0.3">
      <c r="A131" s="2">
        <v>130</v>
      </c>
      <c r="B131" s="1" t="s">
        <v>280</v>
      </c>
      <c r="C131" s="1" t="s">
        <v>273</v>
      </c>
      <c r="D131" s="1" t="s">
        <v>274</v>
      </c>
      <c r="E131" s="1" t="s">
        <v>281</v>
      </c>
      <c r="F131" s="1" t="str">
        <f>HYPERLINK("https://talan.bank.gov.ua/get-user-certificate/J53250sXNupyNmCNuyER","Завантажити сертифікат")</f>
        <v>Завантажити сертифікат</v>
      </c>
    </row>
    <row r="132" spans="1:6" ht="28.8" x14ac:dyDescent="0.3">
      <c r="A132" s="2">
        <v>131</v>
      </c>
      <c r="B132" s="1" t="s">
        <v>282</v>
      </c>
      <c r="C132" s="1" t="s">
        <v>273</v>
      </c>
      <c r="D132" s="1" t="s">
        <v>274</v>
      </c>
      <c r="E132" s="1" t="s">
        <v>283</v>
      </c>
      <c r="F132" s="1" t="str">
        <f>HYPERLINK("https://talan.bank.gov.ua/get-user-certificate/J5325yDTCqpoUHxBqYdE","Завантажити сертифікат")</f>
        <v>Завантажити сертифікат</v>
      </c>
    </row>
    <row r="133" spans="1:6" ht="28.8" x14ac:dyDescent="0.3">
      <c r="A133" s="2">
        <v>132</v>
      </c>
      <c r="B133" s="1" t="s">
        <v>284</v>
      </c>
      <c r="C133" s="1" t="s">
        <v>273</v>
      </c>
      <c r="D133" s="1" t="s">
        <v>274</v>
      </c>
      <c r="E133" s="1" t="s">
        <v>285</v>
      </c>
      <c r="F133" s="1" t="str">
        <f>HYPERLINK("https://talan.bank.gov.ua/get-user-certificate/J53254xvUrfqEsYMkrIp","Завантажити сертифікат")</f>
        <v>Завантажити сертифікат</v>
      </c>
    </row>
    <row r="134" spans="1:6" ht="28.8" x14ac:dyDescent="0.3">
      <c r="A134" s="2">
        <v>133</v>
      </c>
      <c r="B134" s="1" t="s">
        <v>286</v>
      </c>
      <c r="C134" s="1" t="s">
        <v>273</v>
      </c>
      <c r="D134" s="1" t="s">
        <v>274</v>
      </c>
      <c r="E134" s="1" t="s">
        <v>287</v>
      </c>
      <c r="F134" s="1" t="str">
        <f>HYPERLINK("https://talan.bank.gov.ua/get-user-certificate/J5325kgt1mzbHuluIr-L","Завантажити сертифікат")</f>
        <v>Завантажити сертифікат</v>
      </c>
    </row>
    <row r="135" spans="1:6" ht="28.8" x14ac:dyDescent="0.3">
      <c r="A135" s="2">
        <v>134</v>
      </c>
      <c r="B135" s="1" t="s">
        <v>288</v>
      </c>
      <c r="C135" s="1" t="s">
        <v>273</v>
      </c>
      <c r="D135" s="1" t="s">
        <v>274</v>
      </c>
      <c r="E135" s="1" t="s">
        <v>289</v>
      </c>
      <c r="F135" s="1" t="str">
        <f>HYPERLINK("https://talan.bank.gov.ua/get-user-certificate/J5325Ezt8ByLuDeVIvpG","Завантажити сертифікат")</f>
        <v>Завантажити сертифікат</v>
      </c>
    </row>
    <row r="136" spans="1:6" ht="28.8" x14ac:dyDescent="0.3">
      <c r="A136" s="2">
        <v>135</v>
      </c>
      <c r="B136" s="1" t="s">
        <v>290</v>
      </c>
      <c r="C136" s="1" t="s">
        <v>273</v>
      </c>
      <c r="D136" s="1" t="s">
        <v>274</v>
      </c>
      <c r="E136" s="1" t="s">
        <v>291</v>
      </c>
      <c r="F136" s="1" t="str">
        <f>HYPERLINK("https://talan.bank.gov.ua/get-user-certificate/J5325yAkfWb63wNlI5hC","Завантажити сертифікат")</f>
        <v>Завантажити сертифікат</v>
      </c>
    </row>
    <row r="137" spans="1:6" ht="28.8" x14ac:dyDescent="0.3">
      <c r="A137" s="2">
        <v>136</v>
      </c>
      <c r="B137" s="1" t="s">
        <v>292</v>
      </c>
      <c r="C137" s="1" t="s">
        <v>273</v>
      </c>
      <c r="D137" s="1" t="s">
        <v>274</v>
      </c>
      <c r="E137" s="1" t="s">
        <v>293</v>
      </c>
      <c r="F137" s="1" t="str">
        <f>HYPERLINK("https://talan.bank.gov.ua/get-user-certificate/J5325e_lO3ab0xysRR0s","Завантажити сертифікат")</f>
        <v>Завантажити сертифікат</v>
      </c>
    </row>
    <row r="138" spans="1:6" ht="28.8" x14ac:dyDescent="0.3">
      <c r="A138" s="2">
        <v>137</v>
      </c>
      <c r="B138" s="1" t="s">
        <v>294</v>
      </c>
      <c r="C138" s="1" t="s">
        <v>273</v>
      </c>
      <c r="D138" s="1" t="s">
        <v>274</v>
      </c>
      <c r="E138" s="1" t="s">
        <v>295</v>
      </c>
      <c r="F138" s="1" t="str">
        <f>HYPERLINK("https://talan.bank.gov.ua/get-user-certificate/J5325l9XGlpfgLETnCEH","Завантажити сертифікат")</f>
        <v>Завантажити сертифікат</v>
      </c>
    </row>
    <row r="139" spans="1:6" ht="28.8" x14ac:dyDescent="0.3">
      <c r="A139" s="2">
        <v>138</v>
      </c>
      <c r="B139" s="1" t="s">
        <v>296</v>
      </c>
      <c r="C139" s="1" t="s">
        <v>273</v>
      </c>
      <c r="D139" s="1" t="s">
        <v>274</v>
      </c>
      <c r="E139" s="1" t="s">
        <v>297</v>
      </c>
      <c r="F139" s="1" t="str">
        <f>HYPERLINK("https://talan.bank.gov.ua/get-user-certificate/J5325Lrwa_-hRKA8nGN9","Завантажити сертифікат")</f>
        <v>Завантажити сертифікат</v>
      </c>
    </row>
    <row r="140" spans="1:6" ht="28.8" x14ac:dyDescent="0.3">
      <c r="A140" s="2">
        <v>139</v>
      </c>
      <c r="B140" s="1" t="s">
        <v>298</v>
      </c>
      <c r="C140" s="1" t="s">
        <v>273</v>
      </c>
      <c r="D140" s="1" t="s">
        <v>274</v>
      </c>
      <c r="E140" s="1" t="s">
        <v>299</v>
      </c>
      <c r="F140" s="1" t="str">
        <f>HYPERLINK("https://talan.bank.gov.ua/get-user-certificate/J5325aH6FEWu0pw6nFC3","Завантажити сертифікат")</f>
        <v>Завантажити сертифікат</v>
      </c>
    </row>
    <row r="141" spans="1:6" ht="28.8" x14ac:dyDescent="0.3">
      <c r="A141" s="2">
        <v>140</v>
      </c>
      <c r="B141" s="1" t="s">
        <v>300</v>
      </c>
      <c r="C141" s="1" t="s">
        <v>273</v>
      </c>
      <c r="D141" s="1" t="s">
        <v>274</v>
      </c>
      <c r="E141" s="1" t="s">
        <v>301</v>
      </c>
      <c r="F141" s="1" t="str">
        <f>HYPERLINK("https://talan.bank.gov.ua/get-user-certificate/J5325dJujd6FOevtWMQN","Завантажити сертифікат")</f>
        <v>Завантажити сертифікат</v>
      </c>
    </row>
    <row r="142" spans="1:6" ht="28.8" x14ac:dyDescent="0.3">
      <c r="A142" s="2">
        <v>141</v>
      </c>
      <c r="B142" s="1" t="s">
        <v>302</v>
      </c>
      <c r="C142" s="1" t="s">
        <v>273</v>
      </c>
      <c r="D142" s="1" t="s">
        <v>274</v>
      </c>
      <c r="E142" s="1" t="s">
        <v>303</v>
      </c>
      <c r="F142" s="1" t="str">
        <f>HYPERLINK("https://talan.bank.gov.ua/get-user-certificate/J5325EFqDkuDOzUHqeyZ","Завантажити сертифікат")</f>
        <v>Завантажити сертифікат</v>
      </c>
    </row>
    <row r="143" spans="1:6" ht="28.8" x14ac:dyDescent="0.3">
      <c r="A143" s="2">
        <v>142</v>
      </c>
      <c r="B143" s="1" t="s">
        <v>304</v>
      </c>
      <c r="C143" s="1" t="s">
        <v>273</v>
      </c>
      <c r="D143" s="1" t="s">
        <v>274</v>
      </c>
      <c r="E143" s="1" t="s">
        <v>305</v>
      </c>
      <c r="F143" s="1" t="str">
        <f>HYPERLINK("https://talan.bank.gov.ua/get-user-certificate/J53257ra6bhy3ZRNubbN","Завантажити сертифікат")</f>
        <v>Завантажити сертифікат</v>
      </c>
    </row>
    <row r="144" spans="1:6" ht="28.8" x14ac:dyDescent="0.3">
      <c r="A144" s="2">
        <v>143</v>
      </c>
      <c r="B144" s="1" t="s">
        <v>306</v>
      </c>
      <c r="C144" s="1" t="s">
        <v>273</v>
      </c>
      <c r="D144" s="1" t="s">
        <v>274</v>
      </c>
      <c r="E144" s="1" t="s">
        <v>307</v>
      </c>
      <c r="F144" s="1" t="str">
        <f>HYPERLINK("https://talan.bank.gov.ua/get-user-certificate/J5325cDmyJW_PgrRrFZq","Завантажити сертифікат")</f>
        <v>Завантажити сертифікат</v>
      </c>
    </row>
    <row r="145" spans="1:6" ht="28.8" x14ac:dyDescent="0.3">
      <c r="A145" s="2">
        <v>144</v>
      </c>
      <c r="B145" s="1" t="s">
        <v>308</v>
      </c>
      <c r="C145" s="1" t="s">
        <v>273</v>
      </c>
      <c r="D145" s="1" t="s">
        <v>274</v>
      </c>
      <c r="E145" s="1" t="s">
        <v>309</v>
      </c>
      <c r="F145" s="1" t="str">
        <f>HYPERLINK("https://talan.bank.gov.ua/get-user-certificate/J5325rdqqcG9N4CNujvu","Завантажити сертифікат")</f>
        <v>Завантажити сертифікат</v>
      </c>
    </row>
    <row r="146" spans="1:6" x14ac:dyDescent="0.3">
      <c r="A146" s="2">
        <v>145</v>
      </c>
      <c r="B146" s="1" t="s">
        <v>310</v>
      </c>
      <c r="C146" s="1" t="s">
        <v>311</v>
      </c>
      <c r="D146" s="1" t="s">
        <v>312</v>
      </c>
      <c r="E146" s="1" t="s">
        <v>313</v>
      </c>
      <c r="F146" s="1" t="str">
        <f>HYPERLINK("https://talan.bank.gov.ua/get-user-certificate/J5325Pjp4yNb2u-GT60T","Завантажити сертифікат")</f>
        <v>Завантажити сертифікат</v>
      </c>
    </row>
    <row r="147" spans="1:6" x14ac:dyDescent="0.3">
      <c r="A147" s="2">
        <v>146</v>
      </c>
      <c r="B147" s="1" t="s">
        <v>314</v>
      </c>
      <c r="C147" s="1" t="s">
        <v>311</v>
      </c>
      <c r="D147" s="1" t="s">
        <v>312</v>
      </c>
      <c r="E147" s="1" t="s">
        <v>315</v>
      </c>
      <c r="F147" s="1" t="str">
        <f>HYPERLINK("https://talan.bank.gov.ua/get-user-certificate/J5325SKErsQBswb9jrxK","Завантажити сертифікат")</f>
        <v>Завантажити сертифікат</v>
      </c>
    </row>
    <row r="148" spans="1:6" x14ac:dyDescent="0.3">
      <c r="A148" s="2">
        <v>147</v>
      </c>
      <c r="B148" s="1" t="s">
        <v>316</v>
      </c>
      <c r="C148" s="1" t="s">
        <v>311</v>
      </c>
      <c r="D148" s="1" t="s">
        <v>312</v>
      </c>
      <c r="E148" s="1" t="s">
        <v>317</v>
      </c>
      <c r="F148" s="1" t="str">
        <f>HYPERLINK("https://talan.bank.gov.ua/get-user-certificate/J5325KELBgQcYvh-j6sm","Завантажити сертифікат")</f>
        <v>Завантажити сертифікат</v>
      </c>
    </row>
    <row r="149" spans="1:6" x14ac:dyDescent="0.3">
      <c r="A149" s="2">
        <v>148</v>
      </c>
      <c r="B149" s="1" t="s">
        <v>318</v>
      </c>
      <c r="C149" s="1" t="s">
        <v>311</v>
      </c>
      <c r="D149" s="1" t="s">
        <v>312</v>
      </c>
      <c r="E149" s="1" t="s">
        <v>319</v>
      </c>
      <c r="F149" s="1" t="str">
        <f>HYPERLINK("https://talan.bank.gov.ua/get-user-certificate/J5325oAgTvvy845_KLao","Завантажити сертифікат")</f>
        <v>Завантажити сертифікат</v>
      </c>
    </row>
    <row r="150" spans="1:6" x14ac:dyDescent="0.3">
      <c r="A150" s="2">
        <v>149</v>
      </c>
      <c r="B150" s="1" t="s">
        <v>320</v>
      </c>
      <c r="C150" s="1" t="s">
        <v>311</v>
      </c>
      <c r="D150" s="1" t="s">
        <v>312</v>
      </c>
      <c r="E150" s="1" t="s">
        <v>321</v>
      </c>
      <c r="F150" s="1" t="str">
        <f>HYPERLINK("https://talan.bank.gov.ua/get-user-certificate/J5325SABC0ZFUr2w-Roh","Завантажити сертифікат")</f>
        <v>Завантажити сертифікат</v>
      </c>
    </row>
    <row r="151" spans="1:6" x14ac:dyDescent="0.3">
      <c r="A151" s="2">
        <v>150</v>
      </c>
      <c r="B151" s="1" t="s">
        <v>322</v>
      </c>
      <c r="C151" s="1" t="s">
        <v>311</v>
      </c>
      <c r="D151" s="1" t="s">
        <v>312</v>
      </c>
      <c r="E151" s="1" t="s">
        <v>323</v>
      </c>
      <c r="F151" s="1" t="str">
        <f>HYPERLINK("https://talan.bank.gov.ua/get-user-certificate/J5325-pHWKmK7e5CZIXh","Завантажити сертифікат")</f>
        <v>Завантажити сертифікат</v>
      </c>
    </row>
    <row r="152" spans="1:6" x14ac:dyDescent="0.3">
      <c r="A152" s="2">
        <v>151</v>
      </c>
      <c r="B152" s="1" t="s">
        <v>324</v>
      </c>
      <c r="C152" s="1" t="s">
        <v>311</v>
      </c>
      <c r="D152" s="1" t="s">
        <v>312</v>
      </c>
      <c r="E152" s="1" t="s">
        <v>325</v>
      </c>
      <c r="F152" s="1" t="str">
        <f>HYPERLINK("https://talan.bank.gov.ua/get-user-certificate/J5325Q6R48qr0fG3NxXb","Завантажити сертифікат")</f>
        <v>Завантажити сертифікат</v>
      </c>
    </row>
    <row r="153" spans="1:6" x14ac:dyDescent="0.3">
      <c r="A153" s="2">
        <v>152</v>
      </c>
      <c r="B153" s="1" t="s">
        <v>326</v>
      </c>
      <c r="C153" s="1" t="s">
        <v>311</v>
      </c>
      <c r="D153" s="1" t="s">
        <v>312</v>
      </c>
      <c r="E153" s="1" t="s">
        <v>327</v>
      </c>
      <c r="F153" s="1" t="str">
        <f>HYPERLINK("https://talan.bank.gov.ua/get-user-certificate/J5325WY3trTacvRm_9Fu","Завантажити сертифікат")</f>
        <v>Завантажити сертифікат</v>
      </c>
    </row>
    <row r="154" spans="1:6" x14ac:dyDescent="0.3">
      <c r="A154" s="2">
        <v>153</v>
      </c>
      <c r="B154" s="1" t="s">
        <v>328</v>
      </c>
      <c r="C154" s="1" t="s">
        <v>311</v>
      </c>
      <c r="D154" s="1" t="s">
        <v>312</v>
      </c>
      <c r="E154" s="1" t="s">
        <v>329</v>
      </c>
      <c r="F154" s="1" t="str">
        <f>HYPERLINK("https://talan.bank.gov.ua/get-user-certificate/J5325i_kkjFQyXsr4RAW","Завантажити сертифікат")</f>
        <v>Завантажити сертифікат</v>
      </c>
    </row>
    <row r="155" spans="1:6" x14ac:dyDescent="0.3">
      <c r="A155" s="2">
        <v>154</v>
      </c>
      <c r="B155" s="1" t="s">
        <v>330</v>
      </c>
      <c r="C155" s="1" t="s">
        <v>311</v>
      </c>
      <c r="D155" s="1" t="s">
        <v>312</v>
      </c>
      <c r="E155" s="1" t="s">
        <v>331</v>
      </c>
      <c r="F155" s="1" t="str">
        <f>HYPERLINK("https://talan.bank.gov.ua/get-user-certificate/J5325MhBB8niFMe82_hM","Завантажити сертифікат")</f>
        <v>Завантажити сертифікат</v>
      </c>
    </row>
    <row r="156" spans="1:6" x14ac:dyDescent="0.3">
      <c r="A156" s="2">
        <v>155</v>
      </c>
      <c r="B156" s="1" t="s">
        <v>332</v>
      </c>
      <c r="C156" s="1" t="s">
        <v>311</v>
      </c>
      <c r="D156" s="1" t="s">
        <v>312</v>
      </c>
      <c r="E156" s="1" t="s">
        <v>333</v>
      </c>
      <c r="F156" s="1" t="str">
        <f>HYPERLINK("https://talan.bank.gov.ua/get-user-certificate/J5325UgO5T8v-9XxdGAF","Завантажити сертифікат")</f>
        <v>Завантажити сертифікат</v>
      </c>
    </row>
    <row r="157" spans="1:6" x14ac:dyDescent="0.3">
      <c r="A157" s="2">
        <v>156</v>
      </c>
      <c r="B157" s="1" t="s">
        <v>334</v>
      </c>
      <c r="C157" s="1" t="s">
        <v>311</v>
      </c>
      <c r="D157" s="1" t="s">
        <v>312</v>
      </c>
      <c r="E157" s="1" t="s">
        <v>335</v>
      </c>
      <c r="F157" s="1" t="str">
        <f>HYPERLINK("https://talan.bank.gov.ua/get-user-certificate/J5325Fz-FUIaa5R0OPbI","Завантажити сертифікат")</f>
        <v>Завантажити сертифікат</v>
      </c>
    </row>
    <row r="158" spans="1:6" x14ac:dyDescent="0.3">
      <c r="A158" s="2">
        <v>157</v>
      </c>
      <c r="B158" s="1" t="s">
        <v>336</v>
      </c>
      <c r="C158" s="1" t="s">
        <v>311</v>
      </c>
      <c r="D158" s="1" t="s">
        <v>312</v>
      </c>
      <c r="E158" s="1" t="s">
        <v>337</v>
      </c>
      <c r="F158" s="1" t="str">
        <f>HYPERLINK("https://talan.bank.gov.ua/get-user-certificate/J5325FgRTkk9k7rC7egC","Завантажити сертифікат")</f>
        <v>Завантажити сертифікат</v>
      </c>
    </row>
    <row r="159" spans="1:6" x14ac:dyDescent="0.3">
      <c r="A159" s="2">
        <v>158</v>
      </c>
      <c r="B159" s="1" t="s">
        <v>338</v>
      </c>
      <c r="C159" s="1" t="s">
        <v>311</v>
      </c>
      <c r="D159" s="1" t="s">
        <v>312</v>
      </c>
      <c r="E159" s="1" t="s">
        <v>339</v>
      </c>
      <c r="F159" s="1" t="str">
        <f>HYPERLINK("https://talan.bank.gov.ua/get-user-certificate/J53254OOD6VxXTR6YKot","Завантажити сертифікат")</f>
        <v>Завантажити сертифікат</v>
      </c>
    </row>
    <row r="160" spans="1:6" x14ac:dyDescent="0.3">
      <c r="A160" s="2">
        <v>159</v>
      </c>
      <c r="B160" s="1" t="s">
        <v>340</v>
      </c>
      <c r="C160" s="1" t="s">
        <v>311</v>
      </c>
      <c r="D160" s="1" t="s">
        <v>312</v>
      </c>
      <c r="E160" s="1" t="s">
        <v>341</v>
      </c>
      <c r="F160" s="1" t="str">
        <f>HYPERLINK("https://talan.bank.gov.ua/get-user-certificate/J5325oPpvFig_mpNWDyq","Завантажити сертифікат")</f>
        <v>Завантажити сертифікат</v>
      </c>
    </row>
    <row r="161" spans="1:6" x14ac:dyDescent="0.3">
      <c r="A161" s="2">
        <v>160</v>
      </c>
      <c r="B161" s="1" t="s">
        <v>342</v>
      </c>
      <c r="C161" s="1" t="s">
        <v>311</v>
      </c>
      <c r="D161" s="1" t="s">
        <v>312</v>
      </c>
      <c r="E161" s="1" t="s">
        <v>343</v>
      </c>
      <c r="F161" s="1" t="str">
        <f>HYPERLINK("https://talan.bank.gov.ua/get-user-certificate/J53258sc8UU914Dnxiwg","Завантажити сертифікат")</f>
        <v>Завантажити сертифікат</v>
      </c>
    </row>
    <row r="162" spans="1:6" x14ac:dyDescent="0.3">
      <c r="A162" s="2">
        <v>161</v>
      </c>
      <c r="B162" s="1" t="s">
        <v>344</v>
      </c>
      <c r="C162" s="1" t="s">
        <v>311</v>
      </c>
      <c r="D162" s="1" t="s">
        <v>312</v>
      </c>
      <c r="E162" s="1" t="s">
        <v>345</v>
      </c>
      <c r="F162" s="1" t="str">
        <f>HYPERLINK("https://talan.bank.gov.ua/get-user-certificate/J5325pYw199Ea-rgHrQP","Завантажити сертифікат")</f>
        <v>Завантажити сертифікат</v>
      </c>
    </row>
    <row r="163" spans="1:6" x14ac:dyDescent="0.3">
      <c r="A163" s="2">
        <v>162</v>
      </c>
      <c r="B163" s="1" t="s">
        <v>346</v>
      </c>
      <c r="C163" s="1" t="s">
        <v>311</v>
      </c>
      <c r="D163" s="1" t="s">
        <v>312</v>
      </c>
      <c r="E163" s="1" t="s">
        <v>347</v>
      </c>
      <c r="F163" s="1" t="str">
        <f>HYPERLINK("https://talan.bank.gov.ua/get-user-certificate/J5325-SLzIU2qeucrsJI","Завантажити сертифікат")</f>
        <v>Завантажити сертифікат</v>
      </c>
    </row>
    <row r="164" spans="1:6" x14ac:dyDescent="0.3">
      <c r="A164" s="2">
        <v>163</v>
      </c>
      <c r="B164" s="1" t="s">
        <v>348</v>
      </c>
      <c r="C164" s="1" t="s">
        <v>311</v>
      </c>
      <c r="D164" s="1" t="s">
        <v>312</v>
      </c>
      <c r="E164" s="1" t="s">
        <v>349</v>
      </c>
      <c r="F164" s="1" t="str">
        <f>HYPERLINK("https://talan.bank.gov.ua/get-user-certificate/J5325fZXm-myB9OT7gBq","Завантажити сертифікат")</f>
        <v>Завантажити сертифікат</v>
      </c>
    </row>
    <row r="165" spans="1:6" x14ac:dyDescent="0.3">
      <c r="A165" s="2">
        <v>164</v>
      </c>
      <c r="B165" s="1" t="s">
        <v>350</v>
      </c>
      <c r="C165" s="1" t="s">
        <v>311</v>
      </c>
      <c r="D165" s="1" t="s">
        <v>312</v>
      </c>
      <c r="E165" s="1" t="s">
        <v>351</v>
      </c>
      <c r="F165" s="1" t="str">
        <f>HYPERLINK("https://talan.bank.gov.ua/get-user-certificate/J5325BAsi0_G1gFGwrlZ","Завантажити сертифікат")</f>
        <v>Завантажити сертифікат</v>
      </c>
    </row>
    <row r="166" spans="1:6" x14ac:dyDescent="0.3">
      <c r="A166" s="2">
        <v>165</v>
      </c>
      <c r="B166" s="1" t="s">
        <v>352</v>
      </c>
      <c r="C166" s="1" t="s">
        <v>311</v>
      </c>
      <c r="D166" s="1" t="s">
        <v>312</v>
      </c>
      <c r="E166" s="1" t="s">
        <v>353</v>
      </c>
      <c r="F166" s="1" t="str">
        <f>HYPERLINK("https://talan.bank.gov.ua/get-user-certificate/J53257plbunGVOWuPiFh","Завантажити сертифікат")</f>
        <v>Завантажити сертифікат</v>
      </c>
    </row>
    <row r="167" spans="1:6" x14ac:dyDescent="0.3">
      <c r="A167" s="2">
        <v>166</v>
      </c>
      <c r="B167" s="1" t="s">
        <v>354</v>
      </c>
      <c r="C167" s="1" t="s">
        <v>311</v>
      </c>
      <c r="D167" s="1" t="s">
        <v>312</v>
      </c>
      <c r="E167" s="1" t="s">
        <v>355</v>
      </c>
      <c r="F167" s="1" t="str">
        <f>HYPERLINK("https://talan.bank.gov.ua/get-user-certificate/J5325Kz1ih0_ezG53dML","Завантажити сертифікат")</f>
        <v>Завантажити сертифікат</v>
      </c>
    </row>
    <row r="168" spans="1:6" x14ac:dyDescent="0.3">
      <c r="A168" s="2">
        <v>167</v>
      </c>
      <c r="B168" s="1" t="s">
        <v>356</v>
      </c>
      <c r="C168" s="1" t="s">
        <v>311</v>
      </c>
      <c r="D168" s="1" t="s">
        <v>312</v>
      </c>
      <c r="E168" s="1" t="s">
        <v>357</v>
      </c>
      <c r="F168" s="1" t="str">
        <f>HYPERLINK("https://talan.bank.gov.ua/get-user-certificate/J5325KQP7GndVry_3QNR","Завантажити сертифікат")</f>
        <v>Завантажити сертифікат</v>
      </c>
    </row>
    <row r="169" spans="1:6" x14ac:dyDescent="0.3">
      <c r="A169" s="2">
        <v>168</v>
      </c>
      <c r="B169" s="1" t="s">
        <v>358</v>
      </c>
      <c r="C169" s="1" t="s">
        <v>311</v>
      </c>
      <c r="D169" s="1" t="s">
        <v>312</v>
      </c>
      <c r="E169" s="1" t="s">
        <v>359</v>
      </c>
      <c r="F169" s="1" t="str">
        <f>HYPERLINK("https://talan.bank.gov.ua/get-user-certificate/J5325lzYuDFDJPkoFcZu","Завантажити сертифікат")</f>
        <v>Завантажити сертифікат</v>
      </c>
    </row>
    <row r="170" spans="1:6" x14ac:dyDescent="0.3">
      <c r="A170" s="2">
        <v>169</v>
      </c>
      <c r="B170" s="1" t="s">
        <v>360</v>
      </c>
      <c r="C170" s="1" t="s">
        <v>311</v>
      </c>
      <c r="D170" s="1" t="s">
        <v>312</v>
      </c>
      <c r="E170" s="1" t="s">
        <v>361</v>
      </c>
      <c r="F170" s="1" t="str">
        <f>HYPERLINK("https://talan.bank.gov.ua/get-user-certificate/J5325Ead5dEMasPO3hMJ","Завантажити сертифікат")</f>
        <v>Завантажити сертифікат</v>
      </c>
    </row>
    <row r="171" spans="1:6" x14ac:dyDescent="0.3">
      <c r="A171" s="2">
        <v>170</v>
      </c>
      <c r="B171" s="1" t="s">
        <v>362</v>
      </c>
      <c r="C171" s="1" t="s">
        <v>311</v>
      </c>
      <c r="D171" s="1" t="s">
        <v>312</v>
      </c>
      <c r="E171" s="1" t="s">
        <v>363</v>
      </c>
      <c r="F171" s="1" t="str">
        <f>HYPERLINK("https://talan.bank.gov.ua/get-user-certificate/J53256XF1UPQPHsjCcS_","Завантажити сертифікат")</f>
        <v>Завантажити сертифікат</v>
      </c>
    </row>
    <row r="172" spans="1:6" x14ac:dyDescent="0.3">
      <c r="A172" s="2">
        <v>171</v>
      </c>
      <c r="B172" s="1" t="s">
        <v>364</v>
      </c>
      <c r="C172" s="1" t="s">
        <v>311</v>
      </c>
      <c r="D172" s="1" t="s">
        <v>312</v>
      </c>
      <c r="E172" s="1" t="s">
        <v>365</v>
      </c>
      <c r="F172" s="1" t="str">
        <f>HYPERLINK("https://talan.bank.gov.ua/get-user-certificate/J5325ZY8gzucCEn2VkL5","Завантажити сертифікат")</f>
        <v>Завантажити сертифікат</v>
      </c>
    </row>
    <row r="173" spans="1:6" x14ac:dyDescent="0.3">
      <c r="A173" s="2">
        <v>172</v>
      </c>
      <c r="B173" s="1" t="s">
        <v>366</v>
      </c>
      <c r="C173" s="1" t="s">
        <v>311</v>
      </c>
      <c r="D173" s="1" t="s">
        <v>312</v>
      </c>
      <c r="E173" s="1" t="s">
        <v>367</v>
      </c>
      <c r="F173" s="1" t="str">
        <f>HYPERLINK("https://talan.bank.gov.ua/get-user-certificate/J53252hzLnOKHG__FpMa","Завантажити сертифікат")</f>
        <v>Завантажити сертифікат</v>
      </c>
    </row>
    <row r="174" spans="1:6" ht="43.2" x14ac:dyDescent="0.3">
      <c r="A174" s="2">
        <v>173</v>
      </c>
      <c r="B174" s="1" t="s">
        <v>368</v>
      </c>
      <c r="C174" s="1" t="s">
        <v>369</v>
      </c>
      <c r="D174" s="1" t="s">
        <v>370</v>
      </c>
      <c r="E174" s="1" t="s">
        <v>371</v>
      </c>
      <c r="F174" s="1" t="str">
        <f>HYPERLINK("https://talan.bank.gov.ua/get-user-certificate/J5325k6ZV8gP7gNtZFfM","Завантажити сертифікат")</f>
        <v>Завантажити сертифікат</v>
      </c>
    </row>
    <row r="175" spans="1:6" ht="43.2" x14ac:dyDescent="0.3">
      <c r="A175" s="2">
        <v>174</v>
      </c>
      <c r="B175" s="1" t="s">
        <v>372</v>
      </c>
      <c r="C175" s="1" t="s">
        <v>369</v>
      </c>
      <c r="D175" s="1" t="s">
        <v>370</v>
      </c>
      <c r="E175" s="1" t="s">
        <v>373</v>
      </c>
      <c r="F175" s="1" t="str">
        <f>HYPERLINK("https://talan.bank.gov.ua/get-user-certificate/J53256p0Ww9MWrL-ZIXO","Завантажити сертифікат")</f>
        <v>Завантажити сертифікат</v>
      </c>
    </row>
    <row r="176" spans="1:6" ht="43.2" x14ac:dyDescent="0.3">
      <c r="A176" s="2">
        <v>175</v>
      </c>
      <c r="B176" s="1" t="s">
        <v>374</v>
      </c>
      <c r="C176" s="1" t="s">
        <v>369</v>
      </c>
      <c r="D176" s="1" t="s">
        <v>370</v>
      </c>
      <c r="E176" s="1" t="s">
        <v>375</v>
      </c>
      <c r="F176" s="1" t="str">
        <f>HYPERLINK("https://talan.bank.gov.ua/get-user-certificate/J5325jgrIKNfuuKmIECq","Завантажити сертифікат")</f>
        <v>Завантажити сертифікат</v>
      </c>
    </row>
    <row r="177" spans="1:6" ht="43.2" x14ac:dyDescent="0.3">
      <c r="A177" s="2">
        <v>176</v>
      </c>
      <c r="B177" s="1" t="s">
        <v>376</v>
      </c>
      <c r="C177" s="1" t="s">
        <v>369</v>
      </c>
      <c r="D177" s="1" t="s">
        <v>370</v>
      </c>
      <c r="E177" s="1" t="s">
        <v>377</v>
      </c>
      <c r="F177" s="1" t="str">
        <f>HYPERLINK("https://talan.bank.gov.ua/get-user-certificate/J5325xm0qw1yfRfLioLl","Завантажити сертифікат")</f>
        <v>Завантажити сертифікат</v>
      </c>
    </row>
    <row r="178" spans="1:6" ht="43.2" x14ac:dyDescent="0.3">
      <c r="A178" s="2">
        <v>177</v>
      </c>
      <c r="B178" s="1" t="s">
        <v>378</v>
      </c>
      <c r="C178" s="1" t="s">
        <v>369</v>
      </c>
      <c r="D178" s="1" t="s">
        <v>370</v>
      </c>
      <c r="E178" s="1" t="s">
        <v>379</v>
      </c>
      <c r="F178" s="1" t="str">
        <f>HYPERLINK("https://talan.bank.gov.ua/get-user-certificate/J5325Y0BLkaswH7wfUwF","Завантажити сертифікат")</f>
        <v>Завантажити сертифікат</v>
      </c>
    </row>
    <row r="179" spans="1:6" ht="43.2" x14ac:dyDescent="0.3">
      <c r="A179" s="2">
        <v>178</v>
      </c>
      <c r="B179" s="1" t="s">
        <v>380</v>
      </c>
      <c r="C179" s="1" t="s">
        <v>369</v>
      </c>
      <c r="D179" s="1" t="s">
        <v>370</v>
      </c>
      <c r="E179" s="1" t="s">
        <v>381</v>
      </c>
      <c r="F179" s="1" t="str">
        <f>HYPERLINK("https://talan.bank.gov.ua/get-user-certificate/J532586fjNhtQ5axjh_y","Завантажити сертифікат")</f>
        <v>Завантажити сертифікат</v>
      </c>
    </row>
    <row r="180" spans="1:6" ht="43.2" x14ac:dyDescent="0.3">
      <c r="A180" s="2">
        <v>179</v>
      </c>
      <c r="B180" s="1" t="s">
        <v>382</v>
      </c>
      <c r="C180" s="1" t="s">
        <v>369</v>
      </c>
      <c r="D180" s="1" t="s">
        <v>370</v>
      </c>
      <c r="E180" s="1" t="s">
        <v>383</v>
      </c>
      <c r="F180" s="1" t="str">
        <f>HYPERLINK("https://talan.bank.gov.ua/get-user-certificate/J5325AE5Z32lt31ZlMeB","Завантажити сертифікат")</f>
        <v>Завантажити сертифікат</v>
      </c>
    </row>
    <row r="181" spans="1:6" ht="43.2" x14ac:dyDescent="0.3">
      <c r="A181" s="2">
        <v>180</v>
      </c>
      <c r="B181" s="1" t="s">
        <v>384</v>
      </c>
      <c r="C181" s="1" t="s">
        <v>369</v>
      </c>
      <c r="D181" s="1" t="s">
        <v>370</v>
      </c>
      <c r="E181" s="1" t="s">
        <v>385</v>
      </c>
      <c r="F181" s="1" t="str">
        <f>HYPERLINK("https://talan.bank.gov.ua/get-user-certificate/J53254Ld5KzyM8e4IZ4A","Завантажити сертифікат")</f>
        <v>Завантажити сертифікат</v>
      </c>
    </row>
    <row r="182" spans="1:6" x14ac:dyDescent="0.3">
      <c r="A182" s="2">
        <v>181</v>
      </c>
      <c r="B182" s="1" t="s">
        <v>386</v>
      </c>
      <c r="C182" s="1" t="s">
        <v>387</v>
      </c>
      <c r="D182" s="1" t="s">
        <v>388</v>
      </c>
      <c r="E182" s="1" t="s">
        <v>389</v>
      </c>
      <c r="F182" s="1" t="str">
        <f>HYPERLINK("https://talan.bank.gov.ua/get-user-certificate/J5325TxQqawjulmq5rDr","Завантажити сертифікат")</f>
        <v>Завантажити сертифікат</v>
      </c>
    </row>
    <row r="183" spans="1:6" x14ac:dyDescent="0.3">
      <c r="A183" s="2">
        <v>182</v>
      </c>
      <c r="B183" s="1" t="s">
        <v>390</v>
      </c>
      <c r="C183" s="1" t="s">
        <v>387</v>
      </c>
      <c r="D183" s="1" t="s">
        <v>388</v>
      </c>
      <c r="E183" s="1" t="s">
        <v>391</v>
      </c>
      <c r="F183" s="1" t="str">
        <f>HYPERLINK("https://talan.bank.gov.ua/get-user-certificate/J5325BJliwEEH7MEo-zf","Завантажити сертифікат")</f>
        <v>Завантажити сертифікат</v>
      </c>
    </row>
    <row r="184" spans="1:6" x14ac:dyDescent="0.3">
      <c r="A184" s="2">
        <v>183</v>
      </c>
      <c r="B184" s="1" t="s">
        <v>392</v>
      </c>
      <c r="C184" s="1" t="s">
        <v>387</v>
      </c>
      <c r="D184" s="1" t="s">
        <v>388</v>
      </c>
      <c r="E184" s="1" t="s">
        <v>393</v>
      </c>
      <c r="F184" s="1" t="str">
        <f>HYPERLINK("https://talan.bank.gov.ua/get-user-certificate/J5325zOT5Byapro5CXHF","Завантажити сертифікат")</f>
        <v>Завантажити сертифікат</v>
      </c>
    </row>
    <row r="185" spans="1:6" x14ac:dyDescent="0.3">
      <c r="A185" s="2">
        <v>184</v>
      </c>
      <c r="B185" s="1" t="s">
        <v>394</v>
      </c>
      <c r="C185" s="1" t="s">
        <v>387</v>
      </c>
      <c r="D185" s="1" t="s">
        <v>388</v>
      </c>
      <c r="E185" s="1" t="s">
        <v>395</v>
      </c>
      <c r="F185" s="1" t="str">
        <f>HYPERLINK("https://talan.bank.gov.ua/get-user-certificate/J5325_Z8u6-FNJxjw3Dz","Завантажити сертифікат")</f>
        <v>Завантажити сертифікат</v>
      </c>
    </row>
    <row r="186" spans="1:6" x14ac:dyDescent="0.3">
      <c r="A186" s="2">
        <v>185</v>
      </c>
      <c r="B186" s="1" t="s">
        <v>396</v>
      </c>
      <c r="C186" s="1" t="s">
        <v>387</v>
      </c>
      <c r="D186" s="1" t="s">
        <v>388</v>
      </c>
      <c r="E186" s="1" t="s">
        <v>397</v>
      </c>
      <c r="F186" s="1" t="str">
        <f>HYPERLINK("https://talan.bank.gov.ua/get-user-certificate/J5325bs8aUKo6nM-DytW","Завантажити сертифікат")</f>
        <v>Завантажити сертифікат</v>
      </c>
    </row>
    <row r="187" spans="1:6" x14ac:dyDescent="0.3">
      <c r="A187" s="2">
        <v>186</v>
      </c>
      <c r="B187" s="1" t="s">
        <v>398</v>
      </c>
      <c r="C187" s="1" t="s">
        <v>387</v>
      </c>
      <c r="D187" s="1" t="s">
        <v>388</v>
      </c>
      <c r="E187" s="1" t="s">
        <v>399</v>
      </c>
      <c r="F187" s="1" t="str">
        <f>HYPERLINK("https://talan.bank.gov.ua/get-user-certificate/J5325Bg5oHpbTsSBlgGs","Завантажити сертифікат")</f>
        <v>Завантажити сертифікат</v>
      </c>
    </row>
    <row r="188" spans="1:6" x14ac:dyDescent="0.3">
      <c r="A188" s="2">
        <v>187</v>
      </c>
      <c r="B188" s="1" t="s">
        <v>400</v>
      </c>
      <c r="C188" s="1" t="s">
        <v>387</v>
      </c>
      <c r="D188" s="1" t="s">
        <v>388</v>
      </c>
      <c r="E188" s="1" t="s">
        <v>401</v>
      </c>
      <c r="F188" s="1" t="str">
        <f>HYPERLINK("https://talan.bank.gov.ua/get-user-certificate/J5325iZbO8IfsmrHB159","Завантажити сертифікат")</f>
        <v>Завантажити сертифікат</v>
      </c>
    </row>
    <row r="189" spans="1:6" x14ac:dyDescent="0.3">
      <c r="A189" s="2">
        <v>188</v>
      </c>
      <c r="B189" s="1" t="s">
        <v>402</v>
      </c>
      <c r="C189" s="1" t="s">
        <v>387</v>
      </c>
      <c r="D189" s="1" t="s">
        <v>388</v>
      </c>
      <c r="E189" s="1" t="s">
        <v>403</v>
      </c>
      <c r="F189" s="1" t="str">
        <f>HYPERLINK("https://talan.bank.gov.ua/get-user-certificate/J53258s2OCt35cU38Lxy","Завантажити сертифікат")</f>
        <v>Завантажити сертифікат</v>
      </c>
    </row>
    <row r="190" spans="1:6" x14ac:dyDescent="0.3">
      <c r="A190" s="2">
        <v>189</v>
      </c>
      <c r="B190" s="1" t="s">
        <v>404</v>
      </c>
      <c r="C190" s="1" t="s">
        <v>387</v>
      </c>
      <c r="D190" s="1" t="s">
        <v>388</v>
      </c>
      <c r="E190" s="1" t="s">
        <v>405</v>
      </c>
      <c r="F190" s="1" t="str">
        <f>HYPERLINK("https://talan.bank.gov.ua/get-user-certificate/J5325fGZsm5GPxrm0s87","Завантажити сертифікат")</f>
        <v>Завантажити сертифікат</v>
      </c>
    </row>
    <row r="191" spans="1:6" x14ac:dyDescent="0.3">
      <c r="A191" s="2">
        <v>190</v>
      </c>
      <c r="B191" s="1" t="s">
        <v>406</v>
      </c>
      <c r="C191" s="1" t="s">
        <v>387</v>
      </c>
      <c r="D191" s="1" t="s">
        <v>388</v>
      </c>
      <c r="E191" s="1" t="s">
        <v>407</v>
      </c>
      <c r="F191" s="1" t="str">
        <f>HYPERLINK("https://talan.bank.gov.ua/get-user-certificate/J5325Mo4SUXxAgMF62RF","Завантажити сертифікат")</f>
        <v>Завантажити сертифікат</v>
      </c>
    </row>
    <row r="192" spans="1:6" x14ac:dyDescent="0.3">
      <c r="A192" s="2">
        <v>191</v>
      </c>
      <c r="B192" s="1" t="s">
        <v>408</v>
      </c>
      <c r="C192" s="1" t="s">
        <v>387</v>
      </c>
      <c r="D192" s="1" t="s">
        <v>388</v>
      </c>
      <c r="E192" s="1" t="s">
        <v>409</v>
      </c>
      <c r="F192" s="1" t="str">
        <f>HYPERLINK("https://talan.bank.gov.ua/get-user-certificate/J5325D7ym8KfyvTLCWTE","Завантажити сертифікат")</f>
        <v>Завантажити сертифікат</v>
      </c>
    </row>
    <row r="193" spans="1:6" x14ac:dyDescent="0.3">
      <c r="A193" s="2">
        <v>192</v>
      </c>
      <c r="B193" s="1" t="s">
        <v>410</v>
      </c>
      <c r="C193" s="1" t="s">
        <v>387</v>
      </c>
      <c r="D193" s="1" t="s">
        <v>388</v>
      </c>
      <c r="E193" s="1" t="s">
        <v>411</v>
      </c>
      <c r="F193" s="1" t="str">
        <f>HYPERLINK("https://talan.bank.gov.ua/get-user-certificate/J5325ZTck2nBNUyucpV8","Завантажити сертифікат")</f>
        <v>Завантажити сертифікат</v>
      </c>
    </row>
    <row r="194" spans="1:6" ht="28.8" x14ac:dyDescent="0.3">
      <c r="A194" s="2">
        <v>193</v>
      </c>
      <c r="B194" s="1" t="s">
        <v>412</v>
      </c>
      <c r="C194" s="1" t="s">
        <v>413</v>
      </c>
      <c r="D194" s="1" t="s">
        <v>414</v>
      </c>
      <c r="E194" s="1" t="s">
        <v>415</v>
      </c>
      <c r="F194" s="1" t="str">
        <f>HYPERLINK("https://talan.bank.gov.ua/get-user-certificate/J5325CjNtniAcEfgkiDq","Завантажити сертифікат")</f>
        <v>Завантажити сертифікат</v>
      </c>
    </row>
    <row r="195" spans="1:6" ht="28.8" x14ac:dyDescent="0.3">
      <c r="A195" s="2">
        <v>194</v>
      </c>
      <c r="B195" s="1" t="s">
        <v>416</v>
      </c>
      <c r="C195" s="1" t="s">
        <v>413</v>
      </c>
      <c r="D195" s="1" t="s">
        <v>414</v>
      </c>
      <c r="E195" s="1" t="s">
        <v>417</v>
      </c>
      <c r="F195" s="1" t="str">
        <f>HYPERLINK("https://talan.bank.gov.ua/get-user-certificate/J5325YEh1MmkfbjDsWO9","Завантажити сертифікат")</f>
        <v>Завантажити сертифікат</v>
      </c>
    </row>
    <row r="196" spans="1:6" ht="28.8" x14ac:dyDescent="0.3">
      <c r="A196" s="2">
        <v>195</v>
      </c>
      <c r="B196" s="1" t="s">
        <v>418</v>
      </c>
      <c r="C196" s="1" t="s">
        <v>413</v>
      </c>
      <c r="D196" s="1" t="s">
        <v>414</v>
      </c>
      <c r="E196" s="1" t="s">
        <v>419</v>
      </c>
      <c r="F196" s="1" t="str">
        <f>HYPERLINK("https://talan.bank.gov.ua/get-user-certificate/J5325z9CRkMNZlmF5j0B","Завантажити сертифікат")</f>
        <v>Завантажити сертифікат</v>
      </c>
    </row>
    <row r="197" spans="1:6" ht="28.8" x14ac:dyDescent="0.3">
      <c r="A197" s="2">
        <v>196</v>
      </c>
      <c r="B197" s="1" t="s">
        <v>420</v>
      </c>
      <c r="C197" s="1" t="s">
        <v>413</v>
      </c>
      <c r="D197" s="1" t="s">
        <v>414</v>
      </c>
      <c r="E197" s="1" t="s">
        <v>421</v>
      </c>
      <c r="F197" s="1" t="str">
        <f>HYPERLINK("https://talan.bank.gov.ua/get-user-certificate/J5325c9jJOels8KmHF9l","Завантажити сертифікат")</f>
        <v>Завантажити сертифікат</v>
      </c>
    </row>
    <row r="198" spans="1:6" ht="28.8" x14ac:dyDescent="0.3">
      <c r="A198" s="2">
        <v>197</v>
      </c>
      <c r="B198" s="1" t="s">
        <v>422</v>
      </c>
      <c r="C198" s="1" t="s">
        <v>413</v>
      </c>
      <c r="D198" s="1" t="s">
        <v>414</v>
      </c>
      <c r="E198" s="1" t="s">
        <v>423</v>
      </c>
      <c r="F198" s="1" t="str">
        <f>HYPERLINK("https://talan.bank.gov.ua/get-user-certificate/J5325mAJ4HTpA12plGe_","Завантажити сертифікат")</f>
        <v>Завантажити сертифікат</v>
      </c>
    </row>
    <row r="199" spans="1:6" ht="28.8" x14ac:dyDescent="0.3">
      <c r="A199" s="2">
        <v>198</v>
      </c>
      <c r="B199" s="1" t="s">
        <v>424</v>
      </c>
      <c r="C199" s="1" t="s">
        <v>413</v>
      </c>
      <c r="D199" s="1" t="s">
        <v>414</v>
      </c>
      <c r="E199" s="1" t="s">
        <v>425</v>
      </c>
      <c r="F199" s="1" t="str">
        <f>HYPERLINK("https://talan.bank.gov.ua/get-user-certificate/J532565SYFv2TsIuUx4Z","Завантажити сертифікат")</f>
        <v>Завантажити сертифікат</v>
      </c>
    </row>
    <row r="200" spans="1:6" ht="28.8" x14ac:dyDescent="0.3">
      <c r="A200" s="2">
        <v>199</v>
      </c>
      <c r="B200" s="1" t="s">
        <v>426</v>
      </c>
      <c r="C200" s="1" t="s">
        <v>413</v>
      </c>
      <c r="D200" s="1" t="s">
        <v>414</v>
      </c>
      <c r="E200" s="1" t="s">
        <v>427</v>
      </c>
      <c r="F200" s="1" t="str">
        <f>HYPERLINK("https://talan.bank.gov.ua/get-user-certificate/J5325kr2BjVlagccKg5q","Завантажити сертифікат")</f>
        <v>Завантажити сертифікат</v>
      </c>
    </row>
    <row r="201" spans="1:6" ht="28.8" x14ac:dyDescent="0.3">
      <c r="A201" s="2">
        <v>200</v>
      </c>
      <c r="B201" s="1" t="s">
        <v>428</v>
      </c>
      <c r="C201" s="1" t="s">
        <v>413</v>
      </c>
      <c r="D201" s="1" t="s">
        <v>414</v>
      </c>
      <c r="E201" s="1" t="s">
        <v>429</v>
      </c>
      <c r="F201" s="1" t="str">
        <f>HYPERLINK("https://talan.bank.gov.ua/get-user-certificate/J5325owSElzM4ovlHFLp","Завантажити сертифікат")</f>
        <v>Завантажити сертифікат</v>
      </c>
    </row>
    <row r="202" spans="1:6" ht="28.8" x14ac:dyDescent="0.3">
      <c r="A202" s="2">
        <v>201</v>
      </c>
      <c r="B202" s="1" t="s">
        <v>430</v>
      </c>
      <c r="C202" s="1" t="s">
        <v>413</v>
      </c>
      <c r="D202" s="1" t="s">
        <v>414</v>
      </c>
      <c r="E202" s="1" t="s">
        <v>431</v>
      </c>
      <c r="F202" s="1" t="str">
        <f>HYPERLINK("https://talan.bank.gov.ua/get-user-certificate/J5325ZXxwvHgc0zYwZjX","Завантажити сертифікат")</f>
        <v>Завантажити сертифікат</v>
      </c>
    </row>
    <row r="203" spans="1:6" ht="28.8" x14ac:dyDescent="0.3">
      <c r="A203" s="2">
        <v>202</v>
      </c>
      <c r="B203" s="1" t="s">
        <v>432</v>
      </c>
      <c r="C203" s="1" t="s">
        <v>413</v>
      </c>
      <c r="D203" s="1" t="s">
        <v>414</v>
      </c>
      <c r="E203" s="1" t="s">
        <v>433</v>
      </c>
      <c r="F203" s="1" t="str">
        <f>HYPERLINK("https://talan.bank.gov.ua/get-user-certificate/J5325co66_-YRu6xpcK0","Завантажити сертифікат")</f>
        <v>Завантажити сертифікат</v>
      </c>
    </row>
    <row r="204" spans="1:6" ht="28.8" x14ac:dyDescent="0.3">
      <c r="A204" s="2">
        <v>203</v>
      </c>
      <c r="B204" s="1" t="s">
        <v>434</v>
      </c>
      <c r="C204" s="1" t="s">
        <v>413</v>
      </c>
      <c r="D204" s="1" t="s">
        <v>414</v>
      </c>
      <c r="E204" s="1" t="s">
        <v>435</v>
      </c>
      <c r="F204" s="1" t="str">
        <f>HYPERLINK("https://talan.bank.gov.ua/get-user-certificate/J5325CkwUCjpi0lI7xEX","Завантажити сертифікат")</f>
        <v>Завантажити сертифікат</v>
      </c>
    </row>
    <row r="205" spans="1:6" ht="28.8" x14ac:dyDescent="0.3">
      <c r="A205" s="2">
        <v>204</v>
      </c>
      <c r="B205" s="1" t="s">
        <v>436</v>
      </c>
      <c r="C205" s="1" t="s">
        <v>413</v>
      </c>
      <c r="D205" s="1" t="s">
        <v>414</v>
      </c>
      <c r="E205" s="1" t="s">
        <v>437</v>
      </c>
      <c r="F205" s="1" t="str">
        <f>HYPERLINK("https://talan.bank.gov.ua/get-user-certificate/J5325khbmt01OMs1OLTV","Завантажити сертифікат")</f>
        <v>Завантажити сертифікат</v>
      </c>
    </row>
    <row r="206" spans="1:6" ht="28.8" x14ac:dyDescent="0.3">
      <c r="A206" s="2">
        <v>205</v>
      </c>
      <c r="B206" s="1" t="s">
        <v>438</v>
      </c>
      <c r="C206" s="1" t="s">
        <v>413</v>
      </c>
      <c r="D206" s="1" t="s">
        <v>414</v>
      </c>
      <c r="E206" s="1" t="s">
        <v>439</v>
      </c>
      <c r="F206" s="1" t="str">
        <f>HYPERLINK("https://talan.bank.gov.ua/get-user-certificate/J53250z-9fdORfrskhAA","Завантажити сертифікат")</f>
        <v>Завантажити сертифікат</v>
      </c>
    </row>
    <row r="207" spans="1:6" ht="28.8" x14ac:dyDescent="0.3">
      <c r="A207" s="2">
        <v>206</v>
      </c>
      <c r="B207" s="1" t="s">
        <v>440</v>
      </c>
      <c r="C207" s="1" t="s">
        <v>413</v>
      </c>
      <c r="D207" s="1" t="s">
        <v>414</v>
      </c>
      <c r="E207" s="1" t="s">
        <v>441</v>
      </c>
      <c r="F207" s="1" t="str">
        <f>HYPERLINK("https://talan.bank.gov.ua/get-user-certificate/J5325actwz0kvIcECOSf","Завантажити сертифікат")</f>
        <v>Завантажити сертифікат</v>
      </c>
    </row>
    <row r="208" spans="1:6" ht="28.8" x14ac:dyDescent="0.3">
      <c r="A208" s="2">
        <v>207</v>
      </c>
      <c r="B208" s="1" t="s">
        <v>442</v>
      </c>
      <c r="C208" s="1" t="s">
        <v>413</v>
      </c>
      <c r="D208" s="1" t="s">
        <v>414</v>
      </c>
      <c r="E208" s="1" t="s">
        <v>443</v>
      </c>
      <c r="F208" s="1" t="str">
        <f>HYPERLINK("https://talan.bank.gov.ua/get-user-certificate/J5325f_QbeLJHPbWzW9L","Завантажити сертифікат")</f>
        <v>Завантажити сертифікат</v>
      </c>
    </row>
    <row r="209" spans="1:6" ht="28.8" x14ac:dyDescent="0.3">
      <c r="A209" s="2">
        <v>208</v>
      </c>
      <c r="B209" s="1" t="s">
        <v>444</v>
      </c>
      <c r="C209" s="1" t="s">
        <v>413</v>
      </c>
      <c r="D209" s="1" t="s">
        <v>414</v>
      </c>
      <c r="E209" s="1" t="s">
        <v>445</v>
      </c>
      <c r="F209" s="1" t="str">
        <f>HYPERLINK("https://talan.bank.gov.ua/get-user-certificate/J5325vhWxsQJHVZOnUwX","Завантажити сертифікат")</f>
        <v>Завантажити сертифікат</v>
      </c>
    </row>
    <row r="210" spans="1:6" ht="28.8" x14ac:dyDescent="0.3">
      <c r="A210" s="2">
        <v>209</v>
      </c>
      <c r="B210" s="1" t="s">
        <v>446</v>
      </c>
      <c r="C210" s="1" t="s">
        <v>413</v>
      </c>
      <c r="D210" s="1" t="s">
        <v>414</v>
      </c>
      <c r="E210" s="1" t="s">
        <v>447</v>
      </c>
      <c r="F210" s="1" t="str">
        <f>HYPERLINK("https://talan.bank.gov.ua/get-user-certificate/J5325-qC1Strr7OLPAiB","Завантажити сертифікат")</f>
        <v>Завантажити сертифікат</v>
      </c>
    </row>
    <row r="211" spans="1:6" ht="28.8" x14ac:dyDescent="0.3">
      <c r="A211" s="2">
        <v>210</v>
      </c>
      <c r="B211" s="1" t="s">
        <v>448</v>
      </c>
      <c r="C211" s="1" t="s">
        <v>413</v>
      </c>
      <c r="D211" s="1" t="s">
        <v>414</v>
      </c>
      <c r="E211" s="1" t="s">
        <v>449</v>
      </c>
      <c r="F211" s="1" t="str">
        <f>HYPERLINK("https://talan.bank.gov.ua/get-user-certificate/J5325qci2Jfe0DiZ_jaO","Завантажити сертифікат")</f>
        <v>Завантажити сертифікат</v>
      </c>
    </row>
    <row r="212" spans="1:6" ht="28.8" x14ac:dyDescent="0.3">
      <c r="A212" s="2">
        <v>211</v>
      </c>
      <c r="B212" s="1" t="s">
        <v>450</v>
      </c>
      <c r="C212" s="1" t="s">
        <v>451</v>
      </c>
      <c r="D212" s="1" t="s">
        <v>414</v>
      </c>
      <c r="E212" s="1" t="s">
        <v>452</v>
      </c>
      <c r="F212" s="1" t="str">
        <f>HYPERLINK("https://talan.bank.gov.ua/get-user-certificate/J5325dIbZn5VYhqqWc9a","Завантажити сертифікат")</f>
        <v>Завантажити сертифікат</v>
      </c>
    </row>
    <row r="213" spans="1:6" ht="28.8" x14ac:dyDescent="0.3">
      <c r="A213" s="2">
        <v>212</v>
      </c>
      <c r="B213" s="1" t="s">
        <v>453</v>
      </c>
      <c r="C213" s="1" t="s">
        <v>451</v>
      </c>
      <c r="D213" s="1" t="s">
        <v>414</v>
      </c>
      <c r="E213" s="1" t="s">
        <v>454</v>
      </c>
      <c r="F213" s="1" t="str">
        <f>HYPERLINK("https://talan.bank.gov.ua/get-user-certificate/J5325YVzAIXUDv22fKsI","Завантажити сертифікат")</f>
        <v>Завантажити сертифікат</v>
      </c>
    </row>
    <row r="214" spans="1:6" ht="28.8" x14ac:dyDescent="0.3">
      <c r="A214" s="2">
        <v>213</v>
      </c>
      <c r="B214" s="1" t="s">
        <v>455</v>
      </c>
      <c r="C214" s="1" t="s">
        <v>451</v>
      </c>
      <c r="D214" s="1" t="s">
        <v>414</v>
      </c>
      <c r="E214" s="1" t="s">
        <v>456</v>
      </c>
      <c r="F214" s="1" t="str">
        <f>HYPERLINK("https://talan.bank.gov.ua/get-user-certificate/J53258F9FZ5ncYhx2DQi","Завантажити сертифікат")</f>
        <v>Завантажити сертифікат</v>
      </c>
    </row>
    <row r="215" spans="1:6" ht="28.8" x14ac:dyDescent="0.3">
      <c r="A215" s="2">
        <v>214</v>
      </c>
      <c r="B215" s="1" t="s">
        <v>457</v>
      </c>
      <c r="C215" s="1" t="s">
        <v>451</v>
      </c>
      <c r="D215" s="1" t="s">
        <v>414</v>
      </c>
      <c r="E215" s="1" t="s">
        <v>458</v>
      </c>
      <c r="F215" s="1" t="str">
        <f>HYPERLINK("https://talan.bank.gov.ua/get-user-certificate/J5325s5jbLHTdyTUlbsn","Завантажити сертифікат")</f>
        <v>Завантажити сертифікат</v>
      </c>
    </row>
    <row r="216" spans="1:6" ht="28.8" x14ac:dyDescent="0.3">
      <c r="A216" s="2">
        <v>215</v>
      </c>
      <c r="B216" s="1" t="s">
        <v>459</v>
      </c>
      <c r="C216" s="1" t="s">
        <v>451</v>
      </c>
      <c r="D216" s="1" t="s">
        <v>414</v>
      </c>
      <c r="E216" s="1" t="s">
        <v>460</v>
      </c>
      <c r="F216" s="1" t="str">
        <f>HYPERLINK("https://talan.bank.gov.ua/get-user-certificate/J5325Gnhk3rb7DCOkq30","Завантажити сертифікат")</f>
        <v>Завантажити сертифікат</v>
      </c>
    </row>
    <row r="217" spans="1:6" ht="28.8" x14ac:dyDescent="0.3">
      <c r="A217" s="2">
        <v>216</v>
      </c>
      <c r="B217" s="1" t="s">
        <v>461</v>
      </c>
      <c r="C217" s="1" t="s">
        <v>451</v>
      </c>
      <c r="D217" s="1" t="s">
        <v>414</v>
      </c>
      <c r="E217" s="1" t="s">
        <v>462</v>
      </c>
      <c r="F217" s="1" t="str">
        <f>HYPERLINK("https://talan.bank.gov.ua/get-user-certificate/J5325v9GPdm3BiNqCUJI","Завантажити сертифікат")</f>
        <v>Завантажити сертифікат</v>
      </c>
    </row>
    <row r="218" spans="1:6" ht="28.8" x14ac:dyDescent="0.3">
      <c r="A218" s="2">
        <v>217</v>
      </c>
      <c r="B218" s="1" t="s">
        <v>463</v>
      </c>
      <c r="C218" s="1" t="s">
        <v>451</v>
      </c>
      <c r="D218" s="1" t="s">
        <v>414</v>
      </c>
      <c r="E218" s="1" t="s">
        <v>464</v>
      </c>
      <c r="F218" s="1" t="str">
        <f>HYPERLINK("https://talan.bank.gov.ua/get-user-certificate/J5325nPBIc0oy2WEXkUD","Завантажити сертифікат")</f>
        <v>Завантажити сертифікат</v>
      </c>
    </row>
    <row r="219" spans="1:6" ht="28.8" x14ac:dyDescent="0.3">
      <c r="A219" s="2">
        <v>218</v>
      </c>
      <c r="B219" s="1" t="s">
        <v>465</v>
      </c>
      <c r="C219" s="1" t="s">
        <v>451</v>
      </c>
      <c r="D219" s="1" t="s">
        <v>414</v>
      </c>
      <c r="E219" s="1" t="s">
        <v>466</v>
      </c>
      <c r="F219" s="1" t="str">
        <f>HYPERLINK("https://talan.bank.gov.ua/get-user-certificate/J53259Q4tbAOEj4E3gNT","Завантажити сертифікат")</f>
        <v>Завантажити сертифікат</v>
      </c>
    </row>
    <row r="220" spans="1:6" ht="28.8" x14ac:dyDescent="0.3">
      <c r="A220" s="2">
        <v>219</v>
      </c>
      <c r="B220" s="1" t="s">
        <v>467</v>
      </c>
      <c r="C220" s="1" t="s">
        <v>451</v>
      </c>
      <c r="D220" s="1" t="s">
        <v>414</v>
      </c>
      <c r="E220" s="1" t="s">
        <v>468</v>
      </c>
      <c r="F220" s="1" t="str">
        <f>HYPERLINK("https://talan.bank.gov.ua/get-user-certificate/J5325i2aR8hD8scfY8sl","Завантажити сертифікат")</f>
        <v>Завантажити сертифікат</v>
      </c>
    </row>
    <row r="221" spans="1:6" ht="28.8" x14ac:dyDescent="0.3">
      <c r="A221" s="2">
        <v>220</v>
      </c>
      <c r="B221" s="1" t="s">
        <v>469</v>
      </c>
      <c r="C221" s="1" t="s">
        <v>451</v>
      </c>
      <c r="D221" s="1" t="s">
        <v>414</v>
      </c>
      <c r="E221" s="1" t="s">
        <v>470</v>
      </c>
      <c r="F221" s="1" t="str">
        <f>HYPERLINK("https://talan.bank.gov.ua/get-user-certificate/J5325M73EflNNXxKlMiT","Завантажити сертифікат")</f>
        <v>Завантажити сертифікат</v>
      </c>
    </row>
    <row r="222" spans="1:6" x14ac:dyDescent="0.3">
      <c r="A222" s="2">
        <v>221</v>
      </c>
      <c r="B222" s="1" t="s">
        <v>471</v>
      </c>
      <c r="C222" s="1" t="s">
        <v>472</v>
      </c>
      <c r="D222" s="1" t="s">
        <v>473</v>
      </c>
      <c r="E222" s="1" t="s">
        <v>474</v>
      </c>
      <c r="F222" s="1" t="str">
        <f>HYPERLINK("https://talan.bank.gov.ua/get-user-certificate/J5325YY3NJC-ZVWpY_rc","Завантажити сертифікат")</f>
        <v>Завантажити сертифікат</v>
      </c>
    </row>
    <row r="223" spans="1:6" x14ac:dyDescent="0.3">
      <c r="A223" s="2">
        <v>222</v>
      </c>
      <c r="B223" s="1" t="s">
        <v>475</v>
      </c>
      <c r="C223" s="1" t="s">
        <v>472</v>
      </c>
      <c r="D223" s="1" t="s">
        <v>473</v>
      </c>
      <c r="E223" s="1" t="s">
        <v>476</v>
      </c>
      <c r="F223" s="1" t="str">
        <f>HYPERLINK("https://talan.bank.gov.ua/get-user-certificate/J5325GkIP-rUN5OdKdmX","Завантажити сертифікат")</f>
        <v>Завантажити сертифікат</v>
      </c>
    </row>
    <row r="224" spans="1:6" x14ac:dyDescent="0.3">
      <c r="A224" s="2">
        <v>223</v>
      </c>
      <c r="B224" s="1" t="s">
        <v>477</v>
      </c>
      <c r="C224" s="1" t="s">
        <v>472</v>
      </c>
      <c r="D224" s="1" t="s">
        <v>473</v>
      </c>
      <c r="E224" s="1" t="s">
        <v>478</v>
      </c>
      <c r="F224" s="1" t="str">
        <f>HYPERLINK("https://talan.bank.gov.ua/get-user-certificate/J53256sdwb26c6tU0TNB","Завантажити сертифікат")</f>
        <v>Завантажити сертифікат</v>
      </c>
    </row>
    <row r="225" spans="1:6" x14ac:dyDescent="0.3">
      <c r="A225" s="2">
        <v>224</v>
      </c>
      <c r="B225" s="1" t="s">
        <v>479</v>
      </c>
      <c r="C225" s="1" t="s">
        <v>472</v>
      </c>
      <c r="D225" s="1" t="s">
        <v>473</v>
      </c>
      <c r="E225" s="1" t="s">
        <v>480</v>
      </c>
      <c r="F225" s="1" t="str">
        <f>HYPERLINK("https://talan.bank.gov.ua/get-user-certificate/J532542Iy7VH7r3sqvEs","Завантажити сертифікат")</f>
        <v>Завантажити сертифікат</v>
      </c>
    </row>
    <row r="226" spans="1:6" x14ac:dyDescent="0.3">
      <c r="A226" s="2">
        <v>225</v>
      </c>
      <c r="B226" s="1" t="s">
        <v>481</v>
      </c>
      <c r="C226" s="1" t="s">
        <v>472</v>
      </c>
      <c r="D226" s="1" t="s">
        <v>473</v>
      </c>
      <c r="E226" s="1" t="s">
        <v>482</v>
      </c>
      <c r="F226" s="1" t="str">
        <f>HYPERLINK("https://talan.bank.gov.ua/get-user-certificate/J5325Zv0kd0CDeym6R4e","Завантажити сертифікат")</f>
        <v>Завантажити сертифікат</v>
      </c>
    </row>
    <row r="227" spans="1:6" x14ac:dyDescent="0.3">
      <c r="A227" s="2">
        <v>226</v>
      </c>
      <c r="B227" s="1" t="s">
        <v>483</v>
      </c>
      <c r="C227" s="1" t="s">
        <v>472</v>
      </c>
      <c r="D227" s="1" t="s">
        <v>473</v>
      </c>
      <c r="E227" s="1" t="s">
        <v>484</v>
      </c>
      <c r="F227" s="1" t="str">
        <f>HYPERLINK("https://talan.bank.gov.ua/get-user-certificate/J5325Y6NjCMWtrFzIvIA","Завантажити сертифікат")</f>
        <v>Завантажити сертифікат</v>
      </c>
    </row>
    <row r="228" spans="1:6" x14ac:dyDescent="0.3">
      <c r="A228" s="2">
        <v>227</v>
      </c>
      <c r="B228" s="1" t="s">
        <v>485</v>
      </c>
      <c r="C228" s="1" t="s">
        <v>472</v>
      </c>
      <c r="D228" s="1" t="s">
        <v>473</v>
      </c>
      <c r="E228" s="1" t="s">
        <v>486</v>
      </c>
      <c r="F228" s="1" t="str">
        <f>HYPERLINK("https://talan.bank.gov.ua/get-user-certificate/J5325aOwuUbUYOQojdg2","Завантажити сертифікат")</f>
        <v>Завантажити сертифікат</v>
      </c>
    </row>
    <row r="229" spans="1:6" x14ac:dyDescent="0.3">
      <c r="A229" s="2">
        <v>228</v>
      </c>
      <c r="B229" s="1" t="s">
        <v>487</v>
      </c>
      <c r="C229" s="1" t="s">
        <v>472</v>
      </c>
      <c r="D229" s="1" t="s">
        <v>473</v>
      </c>
      <c r="E229" s="1" t="s">
        <v>488</v>
      </c>
      <c r="F229" s="1" t="str">
        <f>HYPERLINK("https://talan.bank.gov.ua/get-user-certificate/J5325hW3t0cXiu7qrq-C","Завантажити сертифікат")</f>
        <v>Завантажити сертифікат</v>
      </c>
    </row>
    <row r="230" spans="1:6" x14ac:dyDescent="0.3">
      <c r="A230" s="2">
        <v>229</v>
      </c>
      <c r="B230" s="1" t="s">
        <v>489</v>
      </c>
      <c r="C230" s="1" t="s">
        <v>472</v>
      </c>
      <c r="D230" s="1" t="s">
        <v>473</v>
      </c>
      <c r="E230" s="1" t="s">
        <v>490</v>
      </c>
      <c r="F230" s="1" t="str">
        <f>HYPERLINK("https://talan.bank.gov.ua/get-user-certificate/J5325PlnHp1dLTHdk1CH","Завантажити сертифікат")</f>
        <v>Завантажити сертифікат</v>
      </c>
    </row>
    <row r="231" spans="1:6" x14ac:dyDescent="0.3">
      <c r="A231" s="2">
        <v>230</v>
      </c>
      <c r="B231" s="1" t="s">
        <v>491</v>
      </c>
      <c r="C231" s="1" t="s">
        <v>472</v>
      </c>
      <c r="D231" s="1" t="s">
        <v>473</v>
      </c>
      <c r="E231" s="1" t="s">
        <v>492</v>
      </c>
      <c r="F231" s="1" t="str">
        <f>HYPERLINK("https://talan.bank.gov.ua/get-user-certificate/J5325qoAdeYZhv8qtVFj","Завантажити сертифікат")</f>
        <v>Завантажити сертифікат</v>
      </c>
    </row>
    <row r="232" spans="1:6" x14ac:dyDescent="0.3">
      <c r="A232" s="2">
        <v>231</v>
      </c>
      <c r="B232" s="1" t="s">
        <v>493</v>
      </c>
      <c r="C232" s="1" t="s">
        <v>472</v>
      </c>
      <c r="D232" s="1" t="s">
        <v>473</v>
      </c>
      <c r="E232" s="1" t="s">
        <v>494</v>
      </c>
      <c r="F232" s="1" t="str">
        <f>HYPERLINK("https://talan.bank.gov.ua/get-user-certificate/J532554KkaJsF0Q3ZQoq","Завантажити сертифікат")</f>
        <v>Завантажити сертифікат</v>
      </c>
    </row>
    <row r="233" spans="1:6" x14ac:dyDescent="0.3">
      <c r="A233" s="2">
        <v>232</v>
      </c>
      <c r="B233" s="1" t="s">
        <v>495</v>
      </c>
      <c r="C233" s="1" t="s">
        <v>472</v>
      </c>
      <c r="D233" s="1" t="s">
        <v>473</v>
      </c>
      <c r="E233" s="1" t="s">
        <v>496</v>
      </c>
      <c r="F233" s="1" t="str">
        <f>HYPERLINK("https://talan.bank.gov.ua/get-user-certificate/J5325SMYMoZFtglbSDHm","Завантажити сертифікат")</f>
        <v>Завантажити сертифікат</v>
      </c>
    </row>
    <row r="234" spans="1:6" x14ac:dyDescent="0.3">
      <c r="A234" s="2">
        <v>233</v>
      </c>
      <c r="B234" s="1" t="s">
        <v>497</v>
      </c>
      <c r="C234" s="1" t="s">
        <v>472</v>
      </c>
      <c r="D234" s="1" t="s">
        <v>473</v>
      </c>
      <c r="E234" s="1" t="s">
        <v>498</v>
      </c>
      <c r="F234" s="1" t="str">
        <f>HYPERLINK("https://talan.bank.gov.ua/get-user-certificate/J5325uhKvQUqExdrtG58","Завантажити сертифікат")</f>
        <v>Завантажити сертифікат</v>
      </c>
    </row>
    <row r="235" spans="1:6" x14ac:dyDescent="0.3">
      <c r="A235" s="2">
        <v>234</v>
      </c>
      <c r="B235" s="1" t="s">
        <v>499</v>
      </c>
      <c r="C235" s="1" t="s">
        <v>472</v>
      </c>
      <c r="D235" s="1" t="s">
        <v>473</v>
      </c>
      <c r="E235" s="1" t="s">
        <v>500</v>
      </c>
      <c r="F235" s="1" t="str">
        <f>HYPERLINK("https://talan.bank.gov.ua/get-user-certificate/J5325TjBkSgKNBEz691P","Завантажити сертифікат")</f>
        <v>Завантажити сертифікат</v>
      </c>
    </row>
    <row r="236" spans="1:6" x14ac:dyDescent="0.3">
      <c r="A236" s="2">
        <v>235</v>
      </c>
      <c r="B236" s="1" t="s">
        <v>501</v>
      </c>
      <c r="C236" s="1" t="s">
        <v>472</v>
      </c>
      <c r="D236" s="1" t="s">
        <v>473</v>
      </c>
      <c r="E236" s="1" t="s">
        <v>502</v>
      </c>
      <c r="F236" s="1" t="str">
        <f>HYPERLINK("https://talan.bank.gov.ua/get-user-certificate/J53254TpHd6g9ZxWlCaV","Завантажити сертифікат")</f>
        <v>Завантажити сертифікат</v>
      </c>
    </row>
    <row r="237" spans="1:6" x14ac:dyDescent="0.3">
      <c r="A237" s="2">
        <v>236</v>
      </c>
      <c r="B237" s="1" t="s">
        <v>503</v>
      </c>
      <c r="C237" s="1" t="s">
        <v>472</v>
      </c>
      <c r="D237" s="1" t="s">
        <v>473</v>
      </c>
      <c r="E237" s="1" t="s">
        <v>504</v>
      </c>
      <c r="F237" s="1" t="str">
        <f>HYPERLINK("https://talan.bank.gov.ua/get-user-certificate/J5325qeh7cmJQ--8tMiL","Завантажити сертифікат")</f>
        <v>Завантажити сертифікат</v>
      </c>
    </row>
    <row r="238" spans="1:6" x14ac:dyDescent="0.3">
      <c r="A238" s="2">
        <v>237</v>
      </c>
      <c r="B238" s="1" t="s">
        <v>505</v>
      </c>
      <c r="C238" s="1" t="s">
        <v>472</v>
      </c>
      <c r="D238" s="1" t="s">
        <v>473</v>
      </c>
      <c r="E238" s="1" t="s">
        <v>506</v>
      </c>
      <c r="F238" s="1" t="str">
        <f>HYPERLINK("https://talan.bank.gov.ua/get-user-certificate/J5325Ew3J4KcLZZkosSS","Завантажити сертифікат")</f>
        <v>Завантажити сертифікат</v>
      </c>
    </row>
    <row r="239" spans="1:6" x14ac:dyDescent="0.3">
      <c r="A239" s="2">
        <v>238</v>
      </c>
      <c r="B239" s="1" t="s">
        <v>507</v>
      </c>
      <c r="C239" s="1" t="s">
        <v>472</v>
      </c>
      <c r="D239" s="1" t="s">
        <v>473</v>
      </c>
      <c r="E239" s="1" t="s">
        <v>508</v>
      </c>
      <c r="F239" s="1" t="str">
        <f>HYPERLINK("https://talan.bank.gov.ua/get-user-certificate/J53252TnBM1nWM6xfCtb","Завантажити сертифікат")</f>
        <v>Завантажити сертифікат</v>
      </c>
    </row>
    <row r="240" spans="1:6" x14ac:dyDescent="0.3">
      <c r="A240" s="2">
        <v>239</v>
      </c>
      <c r="B240" s="1" t="s">
        <v>509</v>
      </c>
      <c r="C240" s="1" t="s">
        <v>472</v>
      </c>
      <c r="D240" s="1" t="s">
        <v>473</v>
      </c>
      <c r="E240" s="1" t="s">
        <v>510</v>
      </c>
      <c r="F240" s="1" t="str">
        <f>HYPERLINK("https://talan.bank.gov.ua/get-user-certificate/J5325hLFK5w_2Z55aETA","Завантажити сертифікат")</f>
        <v>Завантажити сертифікат</v>
      </c>
    </row>
    <row r="241" spans="1:6" x14ac:dyDescent="0.3">
      <c r="A241" s="2">
        <v>240</v>
      </c>
      <c r="B241" s="1" t="s">
        <v>511</v>
      </c>
      <c r="C241" s="1" t="s">
        <v>472</v>
      </c>
      <c r="D241" s="1" t="s">
        <v>473</v>
      </c>
      <c r="E241" s="1" t="s">
        <v>512</v>
      </c>
      <c r="F241" s="1" t="str">
        <f>HYPERLINK("https://talan.bank.gov.ua/get-user-certificate/J5325jQCv2mZD41W6oJF","Завантажити сертифікат")</f>
        <v>Завантажити сертифікат</v>
      </c>
    </row>
    <row r="242" spans="1:6" x14ac:dyDescent="0.3">
      <c r="A242" s="2">
        <v>241</v>
      </c>
      <c r="B242" s="1" t="s">
        <v>513</v>
      </c>
      <c r="C242" s="1" t="s">
        <v>472</v>
      </c>
      <c r="D242" s="1" t="s">
        <v>473</v>
      </c>
      <c r="E242" s="1" t="s">
        <v>514</v>
      </c>
      <c r="F242" s="1" t="str">
        <f>HYPERLINK("https://talan.bank.gov.ua/get-user-certificate/J5325mHZv5HQ7Tqo00kt","Завантажити сертифікат")</f>
        <v>Завантажити сертифікат</v>
      </c>
    </row>
    <row r="243" spans="1:6" x14ac:dyDescent="0.3">
      <c r="A243" s="2">
        <v>242</v>
      </c>
      <c r="B243" s="1" t="s">
        <v>515</v>
      </c>
      <c r="C243" s="1" t="s">
        <v>472</v>
      </c>
      <c r="D243" s="1" t="s">
        <v>473</v>
      </c>
      <c r="E243" s="1" t="s">
        <v>516</v>
      </c>
      <c r="F243" s="1" t="str">
        <f>HYPERLINK("https://talan.bank.gov.ua/get-user-certificate/J5325xRSptWOrv14Fr32","Завантажити сертифікат")</f>
        <v>Завантажити сертифікат</v>
      </c>
    </row>
    <row r="244" spans="1:6" x14ac:dyDescent="0.3">
      <c r="A244" s="2">
        <v>243</v>
      </c>
      <c r="B244" s="1" t="s">
        <v>517</v>
      </c>
      <c r="C244" s="1" t="s">
        <v>472</v>
      </c>
      <c r="D244" s="1" t="s">
        <v>473</v>
      </c>
      <c r="E244" s="1" t="s">
        <v>518</v>
      </c>
      <c r="F244" s="1" t="str">
        <f>HYPERLINK("https://talan.bank.gov.ua/get-user-certificate/J5325nnQJY2-5Dm_8QIf","Завантажити сертифікат")</f>
        <v>Завантажити сертифікат</v>
      </c>
    </row>
    <row r="245" spans="1:6" x14ac:dyDescent="0.3">
      <c r="A245" s="2">
        <v>244</v>
      </c>
      <c r="B245" s="1" t="s">
        <v>519</v>
      </c>
      <c r="C245" s="1" t="s">
        <v>472</v>
      </c>
      <c r="D245" s="1" t="s">
        <v>473</v>
      </c>
      <c r="E245" s="1" t="s">
        <v>520</v>
      </c>
      <c r="F245" s="1" t="str">
        <f>HYPERLINK("https://talan.bank.gov.ua/get-user-certificate/J5325ik1Kh5E142IRYxJ","Завантажити сертифікат")</f>
        <v>Завантажити сертифікат</v>
      </c>
    </row>
    <row r="246" spans="1:6" x14ac:dyDescent="0.3">
      <c r="A246" s="2">
        <v>245</v>
      </c>
      <c r="B246" s="1" t="s">
        <v>521</v>
      </c>
      <c r="C246" s="1" t="s">
        <v>472</v>
      </c>
      <c r="D246" s="1" t="s">
        <v>473</v>
      </c>
      <c r="E246" s="1" t="s">
        <v>522</v>
      </c>
      <c r="F246" s="1" t="str">
        <f>HYPERLINK("https://talan.bank.gov.ua/get-user-certificate/J5325GtBSc39T-9lgQbl","Завантажити сертифікат")</f>
        <v>Завантажити сертифікат</v>
      </c>
    </row>
    <row r="247" spans="1:6" x14ac:dyDescent="0.3">
      <c r="A247" s="2">
        <v>246</v>
      </c>
      <c r="B247" s="1" t="s">
        <v>523</v>
      </c>
      <c r="C247" s="1" t="s">
        <v>472</v>
      </c>
      <c r="D247" s="1" t="s">
        <v>473</v>
      </c>
      <c r="E247" s="1" t="s">
        <v>524</v>
      </c>
      <c r="F247" s="1" t="str">
        <f>HYPERLINK("https://talan.bank.gov.ua/get-user-certificate/J5325Qk0SrX5_40JPZZ4","Завантажити сертифікат")</f>
        <v>Завантажити сертифікат</v>
      </c>
    </row>
    <row r="248" spans="1:6" ht="28.8" x14ac:dyDescent="0.3">
      <c r="A248" s="2">
        <v>247</v>
      </c>
      <c r="B248" s="1" t="s">
        <v>525</v>
      </c>
      <c r="C248" s="1" t="s">
        <v>526</v>
      </c>
      <c r="D248" s="1" t="s">
        <v>527</v>
      </c>
      <c r="E248" s="1" t="s">
        <v>528</v>
      </c>
      <c r="F248" s="1" t="str">
        <f>HYPERLINK("https://talan.bank.gov.ua/get-user-certificate/J5325VNS_qBL3Q_kr1JT","Завантажити сертифікат")</f>
        <v>Завантажити сертифікат</v>
      </c>
    </row>
    <row r="249" spans="1:6" ht="28.8" x14ac:dyDescent="0.3">
      <c r="A249" s="2">
        <v>248</v>
      </c>
      <c r="B249" s="1" t="s">
        <v>529</v>
      </c>
      <c r="C249" s="1" t="s">
        <v>526</v>
      </c>
      <c r="D249" s="1" t="s">
        <v>527</v>
      </c>
      <c r="E249" s="1" t="s">
        <v>530</v>
      </c>
      <c r="F249" s="1" t="str">
        <f>HYPERLINK("https://talan.bank.gov.ua/get-user-certificate/J5325BlToF7iG9VEkg0m","Завантажити сертифікат")</f>
        <v>Завантажити сертифікат</v>
      </c>
    </row>
    <row r="250" spans="1:6" ht="28.8" x14ac:dyDescent="0.3">
      <c r="A250" s="2">
        <v>249</v>
      </c>
      <c r="B250" s="1" t="s">
        <v>531</v>
      </c>
      <c r="C250" s="1" t="s">
        <v>526</v>
      </c>
      <c r="D250" s="1" t="s">
        <v>527</v>
      </c>
      <c r="E250" s="1" t="s">
        <v>532</v>
      </c>
      <c r="F250" s="1" t="str">
        <f>HYPERLINK("https://talan.bank.gov.ua/get-user-certificate/J5325ltqyhs4apBSwTeD","Завантажити сертифікат")</f>
        <v>Завантажити сертифікат</v>
      </c>
    </row>
    <row r="251" spans="1:6" ht="28.8" x14ac:dyDescent="0.3">
      <c r="A251" s="2">
        <v>250</v>
      </c>
      <c r="B251" s="1" t="s">
        <v>533</v>
      </c>
      <c r="C251" s="1" t="s">
        <v>526</v>
      </c>
      <c r="D251" s="1" t="s">
        <v>527</v>
      </c>
      <c r="E251" s="1" t="s">
        <v>534</v>
      </c>
      <c r="F251" s="1" t="str">
        <f>HYPERLINK("https://talan.bank.gov.ua/get-user-certificate/J5325QB2-R1rJ8pGbFaS","Завантажити сертифікат")</f>
        <v>Завантажити сертифікат</v>
      </c>
    </row>
    <row r="252" spans="1:6" ht="28.8" x14ac:dyDescent="0.3">
      <c r="A252" s="2">
        <v>251</v>
      </c>
      <c r="B252" s="1" t="s">
        <v>535</v>
      </c>
      <c r="C252" s="1" t="s">
        <v>526</v>
      </c>
      <c r="D252" s="1" t="s">
        <v>527</v>
      </c>
      <c r="E252" s="1" t="s">
        <v>536</v>
      </c>
      <c r="F252" s="1" t="str">
        <f>HYPERLINK("https://talan.bank.gov.ua/get-user-certificate/J5325lxswnZZ-42l_V-0","Завантажити сертифікат")</f>
        <v>Завантажити сертифікат</v>
      </c>
    </row>
    <row r="253" spans="1:6" ht="28.8" x14ac:dyDescent="0.3">
      <c r="A253" s="2">
        <v>252</v>
      </c>
      <c r="B253" s="1" t="s">
        <v>537</v>
      </c>
      <c r="C253" s="1" t="s">
        <v>526</v>
      </c>
      <c r="D253" s="1" t="s">
        <v>527</v>
      </c>
      <c r="E253" s="1" t="s">
        <v>538</v>
      </c>
      <c r="F253" s="1" t="str">
        <f>HYPERLINK("https://talan.bank.gov.ua/get-user-certificate/J5325W2yld0PExvWJnwK","Завантажити сертифікат")</f>
        <v>Завантажити сертифікат</v>
      </c>
    </row>
    <row r="254" spans="1:6" ht="28.8" x14ac:dyDescent="0.3">
      <c r="A254" s="2">
        <v>253</v>
      </c>
      <c r="B254" s="1" t="s">
        <v>539</v>
      </c>
      <c r="C254" s="1" t="s">
        <v>526</v>
      </c>
      <c r="D254" s="1" t="s">
        <v>527</v>
      </c>
      <c r="E254" s="1" t="s">
        <v>540</v>
      </c>
      <c r="F254" s="1" t="str">
        <f>HYPERLINK("https://talan.bank.gov.ua/get-user-certificate/J5325GXnPpt2k5GhdtkH","Завантажити сертифікат")</f>
        <v>Завантажити сертифікат</v>
      </c>
    </row>
    <row r="255" spans="1:6" ht="28.8" x14ac:dyDescent="0.3">
      <c r="A255" s="2">
        <v>254</v>
      </c>
      <c r="B255" s="1" t="s">
        <v>541</v>
      </c>
      <c r="C255" s="1" t="s">
        <v>526</v>
      </c>
      <c r="D255" s="1" t="s">
        <v>527</v>
      </c>
      <c r="E255" s="1" t="s">
        <v>542</v>
      </c>
      <c r="F255" s="1" t="str">
        <f>HYPERLINK("https://talan.bank.gov.ua/get-user-certificate/J53252kogelnWgu1YwES","Завантажити сертифікат")</f>
        <v>Завантажити сертифікат</v>
      </c>
    </row>
    <row r="256" spans="1:6" ht="28.8" x14ac:dyDescent="0.3">
      <c r="A256" s="2">
        <v>255</v>
      </c>
      <c r="B256" s="1" t="s">
        <v>543</v>
      </c>
      <c r="C256" s="1" t="s">
        <v>526</v>
      </c>
      <c r="D256" s="1" t="s">
        <v>527</v>
      </c>
      <c r="E256" s="1" t="s">
        <v>544</v>
      </c>
      <c r="F256" s="1" t="str">
        <f>HYPERLINK("https://talan.bank.gov.ua/get-user-certificate/J5325n-4jr7ZQR9mKfPF","Завантажити сертифікат")</f>
        <v>Завантажити сертифікат</v>
      </c>
    </row>
    <row r="257" spans="1:6" ht="28.8" x14ac:dyDescent="0.3">
      <c r="A257" s="2">
        <v>256</v>
      </c>
      <c r="B257" s="1" t="s">
        <v>545</v>
      </c>
      <c r="C257" s="1" t="s">
        <v>526</v>
      </c>
      <c r="D257" s="1" t="s">
        <v>527</v>
      </c>
      <c r="E257" s="1" t="s">
        <v>546</v>
      </c>
      <c r="F257" s="1" t="str">
        <f>HYPERLINK("https://talan.bank.gov.ua/get-user-certificate/J5325bh8gG3Z06T0h5Gw","Завантажити сертифікат")</f>
        <v>Завантажити сертифікат</v>
      </c>
    </row>
    <row r="258" spans="1:6" ht="28.8" x14ac:dyDescent="0.3">
      <c r="A258" s="2">
        <v>257</v>
      </c>
      <c r="B258" s="1" t="s">
        <v>547</v>
      </c>
      <c r="C258" s="1" t="s">
        <v>526</v>
      </c>
      <c r="D258" s="1" t="s">
        <v>527</v>
      </c>
      <c r="E258" s="1" t="s">
        <v>548</v>
      </c>
      <c r="F258" s="1" t="str">
        <f>HYPERLINK("https://talan.bank.gov.ua/get-user-certificate/J5325JuG6gKw6ZsGaQd1","Завантажити сертифікат")</f>
        <v>Завантажити сертифікат</v>
      </c>
    </row>
    <row r="259" spans="1:6" ht="28.8" x14ac:dyDescent="0.3">
      <c r="A259" s="2">
        <v>258</v>
      </c>
      <c r="B259" s="1" t="s">
        <v>549</v>
      </c>
      <c r="C259" s="1" t="s">
        <v>526</v>
      </c>
      <c r="D259" s="1" t="s">
        <v>527</v>
      </c>
      <c r="E259" s="1" t="s">
        <v>550</v>
      </c>
      <c r="F259" s="1" t="str">
        <f>HYPERLINK("https://talan.bank.gov.ua/get-user-certificate/J5325Tgfe5Gq8GGhIH3P","Завантажити сертифікат")</f>
        <v>Завантажити сертифікат</v>
      </c>
    </row>
    <row r="260" spans="1:6" ht="28.8" x14ac:dyDescent="0.3">
      <c r="A260" s="2">
        <v>259</v>
      </c>
      <c r="B260" s="1" t="s">
        <v>551</v>
      </c>
      <c r="C260" s="1" t="s">
        <v>526</v>
      </c>
      <c r="D260" s="1" t="s">
        <v>527</v>
      </c>
      <c r="E260" s="1" t="s">
        <v>552</v>
      </c>
      <c r="F260" s="1" t="str">
        <f>HYPERLINK("https://talan.bank.gov.ua/get-user-certificate/J5325CIgxqXpUVtO84xm","Завантажити сертифікат")</f>
        <v>Завантажити сертифікат</v>
      </c>
    </row>
    <row r="261" spans="1:6" ht="28.8" x14ac:dyDescent="0.3">
      <c r="A261" s="2">
        <v>260</v>
      </c>
      <c r="B261" s="1" t="s">
        <v>553</v>
      </c>
      <c r="C261" s="1" t="s">
        <v>526</v>
      </c>
      <c r="D261" s="1" t="s">
        <v>527</v>
      </c>
      <c r="E261" s="1" t="s">
        <v>554</v>
      </c>
      <c r="F261" s="1" t="str">
        <f>HYPERLINK("https://talan.bank.gov.ua/get-user-certificate/J5325ZDMNt5ATdW0DBwG","Завантажити сертифікат")</f>
        <v>Завантажити сертифікат</v>
      </c>
    </row>
    <row r="262" spans="1:6" ht="28.8" x14ac:dyDescent="0.3">
      <c r="A262" s="2">
        <v>261</v>
      </c>
      <c r="B262" s="1" t="s">
        <v>555</v>
      </c>
      <c r="C262" s="1" t="s">
        <v>526</v>
      </c>
      <c r="D262" s="1" t="s">
        <v>527</v>
      </c>
      <c r="E262" s="1" t="s">
        <v>556</v>
      </c>
      <c r="F262" s="1" t="str">
        <f>HYPERLINK("https://talan.bank.gov.ua/get-user-certificate/J53254KTn42xxgnJNyML","Завантажити сертифікат")</f>
        <v>Завантажити сертифікат</v>
      </c>
    </row>
    <row r="263" spans="1:6" ht="28.8" x14ac:dyDescent="0.3">
      <c r="A263" s="2">
        <v>262</v>
      </c>
      <c r="B263" s="1" t="s">
        <v>557</v>
      </c>
      <c r="C263" s="1" t="s">
        <v>526</v>
      </c>
      <c r="D263" s="1" t="s">
        <v>527</v>
      </c>
      <c r="E263" s="1" t="s">
        <v>558</v>
      </c>
      <c r="F263" s="1" t="str">
        <f>HYPERLINK("https://talan.bank.gov.ua/get-user-certificate/J53250B6bdAhG-iM87zA","Завантажити сертифікат")</f>
        <v>Завантажити сертифікат</v>
      </c>
    </row>
    <row r="264" spans="1:6" ht="28.8" x14ac:dyDescent="0.3">
      <c r="A264" s="2">
        <v>263</v>
      </c>
      <c r="B264" s="1" t="s">
        <v>559</v>
      </c>
      <c r="C264" s="1" t="s">
        <v>526</v>
      </c>
      <c r="D264" s="1" t="s">
        <v>527</v>
      </c>
      <c r="E264" s="1" t="s">
        <v>560</v>
      </c>
      <c r="F264" s="1" t="str">
        <f>HYPERLINK("https://talan.bank.gov.ua/get-user-certificate/J5325pigVRIncSp9JCO9","Завантажити сертифікат")</f>
        <v>Завантажити сертифікат</v>
      </c>
    </row>
    <row r="265" spans="1:6" ht="28.8" x14ac:dyDescent="0.3">
      <c r="A265" s="2">
        <v>264</v>
      </c>
      <c r="B265" s="1" t="s">
        <v>561</v>
      </c>
      <c r="C265" s="1" t="s">
        <v>526</v>
      </c>
      <c r="D265" s="1" t="s">
        <v>527</v>
      </c>
      <c r="E265" s="1" t="s">
        <v>562</v>
      </c>
      <c r="F265" s="1" t="str">
        <f>HYPERLINK("https://talan.bank.gov.ua/get-user-certificate/J5325jx_nLTAtau4GMj8","Завантажити сертифікат")</f>
        <v>Завантажити сертифікат</v>
      </c>
    </row>
    <row r="266" spans="1:6" ht="28.8" x14ac:dyDescent="0.3">
      <c r="A266" s="2">
        <v>265</v>
      </c>
      <c r="B266" s="1" t="s">
        <v>563</v>
      </c>
      <c r="C266" s="1" t="s">
        <v>526</v>
      </c>
      <c r="D266" s="1" t="s">
        <v>527</v>
      </c>
      <c r="E266" s="1" t="s">
        <v>564</v>
      </c>
      <c r="F266" s="1" t="str">
        <f>HYPERLINK("https://talan.bank.gov.ua/get-user-certificate/J5325VztRuawsK-n-xyw","Завантажити сертифікат")</f>
        <v>Завантажити сертифікат</v>
      </c>
    </row>
    <row r="267" spans="1:6" ht="28.8" x14ac:dyDescent="0.3">
      <c r="A267" s="2">
        <v>266</v>
      </c>
      <c r="B267" s="1" t="s">
        <v>565</v>
      </c>
      <c r="C267" s="1" t="s">
        <v>526</v>
      </c>
      <c r="D267" s="1" t="s">
        <v>527</v>
      </c>
      <c r="E267" s="1" t="s">
        <v>566</v>
      </c>
      <c r="F267" s="1" t="str">
        <f>HYPERLINK("https://talan.bank.gov.ua/get-user-certificate/J5325bCTi7nbXEzw6VD0","Завантажити сертифікат")</f>
        <v>Завантажити сертифікат</v>
      </c>
    </row>
    <row r="268" spans="1:6" ht="28.8" x14ac:dyDescent="0.3">
      <c r="A268" s="2">
        <v>267</v>
      </c>
      <c r="B268" s="1" t="s">
        <v>567</v>
      </c>
      <c r="C268" s="1" t="s">
        <v>568</v>
      </c>
      <c r="D268" s="1" t="s">
        <v>569</v>
      </c>
      <c r="E268" s="1" t="s">
        <v>570</v>
      </c>
      <c r="F268" s="1" t="str">
        <f>HYPERLINK("https://talan.bank.gov.ua/get-user-certificate/J53255uIKzTlVyaKDrbu","Завантажити сертифікат")</f>
        <v>Завантажити сертифікат</v>
      </c>
    </row>
    <row r="269" spans="1:6" ht="28.8" x14ac:dyDescent="0.3">
      <c r="A269" s="2">
        <v>268</v>
      </c>
      <c r="B269" s="1" t="s">
        <v>571</v>
      </c>
      <c r="C269" s="1" t="s">
        <v>568</v>
      </c>
      <c r="D269" s="1" t="s">
        <v>569</v>
      </c>
      <c r="E269" s="1" t="s">
        <v>572</v>
      </c>
      <c r="F269" s="1" t="str">
        <f>HYPERLINK("https://talan.bank.gov.ua/get-user-certificate/J5325cZEAJ-ctnuLicPp","Завантажити сертифікат")</f>
        <v>Завантажити сертифікат</v>
      </c>
    </row>
    <row r="270" spans="1:6" ht="28.8" x14ac:dyDescent="0.3">
      <c r="A270" s="2">
        <v>269</v>
      </c>
      <c r="B270" s="1" t="s">
        <v>573</v>
      </c>
      <c r="C270" s="1" t="s">
        <v>568</v>
      </c>
      <c r="D270" s="1" t="s">
        <v>569</v>
      </c>
      <c r="E270" s="1" t="s">
        <v>574</v>
      </c>
      <c r="F270" s="1" t="str">
        <f>HYPERLINK("https://talan.bank.gov.ua/get-user-certificate/J5325zlzj5D3KNCUtvWu","Завантажити сертифікат")</f>
        <v>Завантажити сертифікат</v>
      </c>
    </row>
    <row r="271" spans="1:6" ht="28.8" x14ac:dyDescent="0.3">
      <c r="A271" s="2">
        <v>270</v>
      </c>
      <c r="B271" s="1" t="s">
        <v>575</v>
      </c>
      <c r="C271" s="1" t="s">
        <v>568</v>
      </c>
      <c r="D271" s="1" t="s">
        <v>569</v>
      </c>
      <c r="E271" s="1" t="s">
        <v>576</v>
      </c>
      <c r="F271" s="1" t="str">
        <f>HYPERLINK("https://talan.bank.gov.ua/get-user-certificate/J5325Rfcz5gDEvd1rRjj","Завантажити сертифікат")</f>
        <v>Завантажити сертифікат</v>
      </c>
    </row>
    <row r="272" spans="1:6" ht="28.8" x14ac:dyDescent="0.3">
      <c r="A272" s="2">
        <v>271</v>
      </c>
      <c r="B272" s="1" t="s">
        <v>577</v>
      </c>
      <c r="C272" s="1" t="s">
        <v>568</v>
      </c>
      <c r="D272" s="1" t="s">
        <v>569</v>
      </c>
      <c r="E272" s="1" t="s">
        <v>578</v>
      </c>
      <c r="F272" s="1" t="str">
        <f>HYPERLINK("https://talan.bank.gov.ua/get-user-certificate/J5325oMnMj12J5OVxD4k","Завантажити сертифікат")</f>
        <v>Завантажити сертифікат</v>
      </c>
    </row>
    <row r="273" spans="1:6" ht="28.8" x14ac:dyDescent="0.3">
      <c r="A273" s="2">
        <v>272</v>
      </c>
      <c r="B273" s="1" t="s">
        <v>579</v>
      </c>
      <c r="C273" s="1" t="s">
        <v>568</v>
      </c>
      <c r="D273" s="1" t="s">
        <v>569</v>
      </c>
      <c r="E273" s="1" t="s">
        <v>580</v>
      </c>
      <c r="F273" s="1" t="str">
        <f>HYPERLINK("https://talan.bank.gov.ua/get-user-certificate/J5325HM1V9HQWQJNxXDU","Завантажити сертифікат")</f>
        <v>Завантажити сертифікат</v>
      </c>
    </row>
    <row r="274" spans="1:6" ht="28.8" x14ac:dyDescent="0.3">
      <c r="A274" s="2">
        <v>273</v>
      </c>
      <c r="B274" s="1" t="s">
        <v>581</v>
      </c>
      <c r="C274" s="1" t="s">
        <v>582</v>
      </c>
      <c r="D274" s="1" t="s">
        <v>583</v>
      </c>
      <c r="E274" s="1" t="s">
        <v>584</v>
      </c>
      <c r="F274" s="1" t="str">
        <f>HYPERLINK("https://talan.bank.gov.ua/get-user-certificate/J5325I-qlaBbtQsqJFt4","Завантажити сертифікат")</f>
        <v>Завантажити сертифікат</v>
      </c>
    </row>
    <row r="275" spans="1:6" ht="28.8" x14ac:dyDescent="0.3">
      <c r="A275" s="2">
        <v>274</v>
      </c>
      <c r="B275" s="1" t="s">
        <v>585</v>
      </c>
      <c r="C275" s="1" t="s">
        <v>582</v>
      </c>
      <c r="D275" s="1" t="s">
        <v>583</v>
      </c>
      <c r="E275" s="1" t="s">
        <v>586</v>
      </c>
      <c r="F275" s="1" t="str">
        <f>HYPERLINK("https://talan.bank.gov.ua/get-user-certificate/J5325jYR4GnIV7WyKiNz","Завантажити сертифікат")</f>
        <v>Завантажити сертифікат</v>
      </c>
    </row>
    <row r="276" spans="1:6" ht="28.8" x14ac:dyDescent="0.3">
      <c r="A276" s="2">
        <v>275</v>
      </c>
      <c r="B276" s="1" t="s">
        <v>587</v>
      </c>
      <c r="C276" s="1" t="s">
        <v>582</v>
      </c>
      <c r="D276" s="1" t="s">
        <v>583</v>
      </c>
      <c r="E276" s="1" t="s">
        <v>588</v>
      </c>
      <c r="F276" s="1" t="str">
        <f>HYPERLINK("https://talan.bank.gov.ua/get-user-certificate/J5325FTUtXnWflrGNUKx","Завантажити сертифікат")</f>
        <v>Завантажити сертифікат</v>
      </c>
    </row>
    <row r="277" spans="1:6" ht="28.8" x14ac:dyDescent="0.3">
      <c r="A277" s="2">
        <v>276</v>
      </c>
      <c r="B277" s="1" t="s">
        <v>589</v>
      </c>
      <c r="C277" s="1" t="s">
        <v>582</v>
      </c>
      <c r="D277" s="1" t="s">
        <v>583</v>
      </c>
      <c r="E277" s="1" t="s">
        <v>590</v>
      </c>
      <c r="F277" s="1" t="str">
        <f>HYPERLINK("https://talan.bank.gov.ua/get-user-certificate/J5325_DPHYpQTBor2uAi","Завантажити сертифікат")</f>
        <v>Завантажити сертифікат</v>
      </c>
    </row>
    <row r="278" spans="1:6" ht="28.8" x14ac:dyDescent="0.3">
      <c r="A278" s="2">
        <v>277</v>
      </c>
      <c r="B278" s="1" t="s">
        <v>591</v>
      </c>
      <c r="C278" s="1" t="s">
        <v>582</v>
      </c>
      <c r="D278" s="1" t="s">
        <v>583</v>
      </c>
      <c r="E278" s="1" t="s">
        <v>592</v>
      </c>
      <c r="F278" s="1" t="str">
        <f>HYPERLINK("https://talan.bank.gov.ua/get-user-certificate/J5325Rh6eMI05PZ8W1wU","Завантажити сертифікат")</f>
        <v>Завантажити сертифікат</v>
      </c>
    </row>
    <row r="279" spans="1:6" ht="28.8" x14ac:dyDescent="0.3">
      <c r="A279" s="2">
        <v>278</v>
      </c>
      <c r="B279" s="1" t="s">
        <v>593</v>
      </c>
      <c r="C279" s="1" t="s">
        <v>582</v>
      </c>
      <c r="D279" s="1" t="s">
        <v>583</v>
      </c>
      <c r="E279" s="1" t="s">
        <v>594</v>
      </c>
      <c r="F279" s="1" t="str">
        <f>HYPERLINK("https://talan.bank.gov.ua/get-user-certificate/J5325t-6Z-OUm3B5chjL","Завантажити сертифікат")</f>
        <v>Завантажити сертифікат</v>
      </c>
    </row>
    <row r="280" spans="1:6" ht="28.8" x14ac:dyDescent="0.3">
      <c r="A280" s="2">
        <v>279</v>
      </c>
      <c r="B280" s="1" t="s">
        <v>595</v>
      </c>
      <c r="C280" s="1" t="s">
        <v>582</v>
      </c>
      <c r="D280" s="1" t="s">
        <v>583</v>
      </c>
      <c r="E280" s="1" t="s">
        <v>596</v>
      </c>
      <c r="F280" s="1" t="str">
        <f>HYPERLINK("https://talan.bank.gov.ua/get-user-certificate/J5325W7qoTkjYvlylQw0","Завантажити сертифікат")</f>
        <v>Завантажити сертифікат</v>
      </c>
    </row>
    <row r="281" spans="1:6" ht="28.8" x14ac:dyDescent="0.3">
      <c r="A281" s="2">
        <v>280</v>
      </c>
      <c r="B281" s="1" t="s">
        <v>597</v>
      </c>
      <c r="C281" s="1" t="s">
        <v>582</v>
      </c>
      <c r="D281" s="1" t="s">
        <v>583</v>
      </c>
      <c r="E281" s="1" t="s">
        <v>598</v>
      </c>
      <c r="F281" s="1" t="str">
        <f>HYPERLINK("https://talan.bank.gov.ua/get-user-certificate/J5325r5AVK-BNc9iJ0mT","Завантажити сертифікат")</f>
        <v>Завантажити сертифікат</v>
      </c>
    </row>
    <row r="282" spans="1:6" ht="28.8" x14ac:dyDescent="0.3">
      <c r="A282" s="2">
        <v>281</v>
      </c>
      <c r="B282" s="1" t="s">
        <v>599</v>
      </c>
      <c r="C282" s="1" t="s">
        <v>582</v>
      </c>
      <c r="D282" s="1" t="s">
        <v>583</v>
      </c>
      <c r="E282" s="1" t="s">
        <v>600</v>
      </c>
      <c r="F282" s="1" t="str">
        <f>HYPERLINK("https://talan.bank.gov.ua/get-user-certificate/J53251jDEj1dTmGXfnUn","Завантажити сертифікат")</f>
        <v>Завантажити сертифікат</v>
      </c>
    </row>
    <row r="283" spans="1:6" ht="28.8" x14ac:dyDescent="0.3">
      <c r="A283" s="2">
        <v>282</v>
      </c>
      <c r="B283" s="1" t="s">
        <v>601</v>
      </c>
      <c r="C283" s="1" t="s">
        <v>582</v>
      </c>
      <c r="D283" s="1" t="s">
        <v>583</v>
      </c>
      <c r="E283" s="1" t="s">
        <v>602</v>
      </c>
      <c r="F283" s="1" t="str">
        <f>HYPERLINK("https://talan.bank.gov.ua/get-user-certificate/J5325UbAHu-7besnBn6R","Завантажити сертифікат")</f>
        <v>Завантажити сертифікат</v>
      </c>
    </row>
    <row r="284" spans="1:6" x14ac:dyDescent="0.3">
      <c r="A284" s="2">
        <v>283</v>
      </c>
      <c r="B284" s="1" t="s">
        <v>603</v>
      </c>
      <c r="C284" s="1" t="s">
        <v>604</v>
      </c>
      <c r="D284" s="1" t="s">
        <v>605</v>
      </c>
      <c r="E284" s="1" t="s">
        <v>606</v>
      </c>
      <c r="F284" s="1" t="str">
        <f>HYPERLINK("https://talan.bank.gov.ua/get-user-certificate/J5325ctTBhALlI1mn_28","Завантажити сертифікат")</f>
        <v>Завантажити сертифікат</v>
      </c>
    </row>
    <row r="285" spans="1:6" x14ac:dyDescent="0.3">
      <c r="A285" s="2">
        <v>284</v>
      </c>
      <c r="B285" s="1" t="s">
        <v>607</v>
      </c>
      <c r="C285" s="1" t="s">
        <v>604</v>
      </c>
      <c r="D285" s="1" t="s">
        <v>605</v>
      </c>
      <c r="E285" s="1" t="s">
        <v>608</v>
      </c>
      <c r="F285" s="1" t="str">
        <f>HYPERLINK("https://talan.bank.gov.ua/get-user-certificate/J5325I_mmOWJYulSXWCP","Завантажити сертифікат")</f>
        <v>Завантажити сертифікат</v>
      </c>
    </row>
    <row r="286" spans="1:6" x14ac:dyDescent="0.3">
      <c r="A286" s="2">
        <v>285</v>
      </c>
      <c r="B286" s="1" t="s">
        <v>609</v>
      </c>
      <c r="C286" s="1" t="s">
        <v>604</v>
      </c>
      <c r="D286" s="1" t="s">
        <v>605</v>
      </c>
      <c r="E286" s="1" t="s">
        <v>610</v>
      </c>
      <c r="F286" s="1" t="str">
        <f>HYPERLINK("https://talan.bank.gov.ua/get-user-certificate/J5325CszQTXQsEaTonQV","Завантажити сертифікат")</f>
        <v>Завантажити сертифікат</v>
      </c>
    </row>
    <row r="287" spans="1:6" x14ac:dyDescent="0.3">
      <c r="A287" s="2">
        <v>286</v>
      </c>
      <c r="B287" s="1" t="s">
        <v>611</v>
      </c>
      <c r="C287" s="1" t="s">
        <v>604</v>
      </c>
      <c r="D287" s="1" t="s">
        <v>605</v>
      </c>
      <c r="E287" s="1" t="s">
        <v>612</v>
      </c>
      <c r="F287" s="1" t="str">
        <f>HYPERLINK("https://talan.bank.gov.ua/get-user-certificate/J5325Nk0CUdVy_ryQQCt","Завантажити сертифікат")</f>
        <v>Завантажити сертифікат</v>
      </c>
    </row>
    <row r="288" spans="1:6" x14ac:dyDescent="0.3">
      <c r="A288" s="2">
        <v>287</v>
      </c>
      <c r="B288" s="1" t="s">
        <v>613</v>
      </c>
      <c r="C288" s="1" t="s">
        <v>604</v>
      </c>
      <c r="D288" s="1" t="s">
        <v>605</v>
      </c>
      <c r="E288" s="1" t="s">
        <v>614</v>
      </c>
      <c r="F288" s="1" t="str">
        <f>HYPERLINK("https://talan.bank.gov.ua/get-user-certificate/J53254JoqKjIQq8bu0Tw","Завантажити сертифікат")</f>
        <v>Завантажити сертифікат</v>
      </c>
    </row>
    <row r="289" spans="1:6" x14ac:dyDescent="0.3">
      <c r="A289" s="2">
        <v>288</v>
      </c>
      <c r="B289" s="1" t="s">
        <v>615</v>
      </c>
      <c r="C289" s="1" t="s">
        <v>604</v>
      </c>
      <c r="D289" s="1" t="s">
        <v>605</v>
      </c>
      <c r="E289" s="1" t="s">
        <v>616</v>
      </c>
      <c r="F289" s="1" t="str">
        <f>HYPERLINK("https://talan.bank.gov.ua/get-user-certificate/J53253kcz9ibeA_pIvtv","Завантажити сертифікат")</f>
        <v>Завантажити сертифікат</v>
      </c>
    </row>
    <row r="290" spans="1:6" x14ac:dyDescent="0.3">
      <c r="A290" s="2">
        <v>289</v>
      </c>
      <c r="B290" s="1" t="s">
        <v>617</v>
      </c>
      <c r="C290" s="1" t="s">
        <v>604</v>
      </c>
      <c r="D290" s="1" t="s">
        <v>605</v>
      </c>
      <c r="E290" s="1" t="s">
        <v>618</v>
      </c>
      <c r="F290" s="1" t="str">
        <f>HYPERLINK("https://talan.bank.gov.ua/get-user-certificate/J5325btHKwJVS5x-qGTu","Завантажити сертифікат")</f>
        <v>Завантажити сертифікат</v>
      </c>
    </row>
    <row r="291" spans="1:6" x14ac:dyDescent="0.3">
      <c r="A291" s="2">
        <v>290</v>
      </c>
      <c r="B291" s="1" t="s">
        <v>619</v>
      </c>
      <c r="C291" s="1" t="s">
        <v>604</v>
      </c>
      <c r="D291" s="1" t="s">
        <v>605</v>
      </c>
      <c r="E291" s="1" t="s">
        <v>620</v>
      </c>
      <c r="F291" s="1" t="str">
        <f>HYPERLINK("https://talan.bank.gov.ua/get-user-certificate/J5325PnxVO1DUuL9a5tP","Завантажити сертифікат")</f>
        <v>Завантажити сертифікат</v>
      </c>
    </row>
    <row r="292" spans="1:6" x14ac:dyDescent="0.3">
      <c r="A292" s="2">
        <v>291</v>
      </c>
      <c r="B292" s="1" t="s">
        <v>621</v>
      </c>
      <c r="C292" s="1" t="s">
        <v>604</v>
      </c>
      <c r="D292" s="1" t="s">
        <v>605</v>
      </c>
      <c r="E292" s="1" t="s">
        <v>622</v>
      </c>
      <c r="F292" s="1" t="str">
        <f>HYPERLINK("https://talan.bank.gov.ua/get-user-certificate/J5325aoI4ZDK6u3wZ55b","Завантажити сертифікат")</f>
        <v>Завантажити сертифікат</v>
      </c>
    </row>
    <row r="293" spans="1:6" x14ac:dyDescent="0.3">
      <c r="A293" s="2">
        <v>292</v>
      </c>
      <c r="B293" s="1" t="s">
        <v>623</v>
      </c>
      <c r="C293" s="1" t="s">
        <v>604</v>
      </c>
      <c r="D293" s="1" t="s">
        <v>605</v>
      </c>
      <c r="E293" s="1" t="s">
        <v>624</v>
      </c>
      <c r="F293" s="1" t="str">
        <f>HYPERLINK("https://talan.bank.gov.ua/get-user-certificate/J5325o7GPVpKkDovDx4f","Завантажити сертифікат")</f>
        <v>Завантажити сертифікат</v>
      </c>
    </row>
    <row r="294" spans="1:6" x14ac:dyDescent="0.3">
      <c r="A294" s="2">
        <v>293</v>
      </c>
      <c r="B294" s="1" t="s">
        <v>625</v>
      </c>
      <c r="C294" s="1" t="s">
        <v>604</v>
      </c>
      <c r="D294" s="1" t="s">
        <v>605</v>
      </c>
      <c r="E294" s="1" t="s">
        <v>626</v>
      </c>
      <c r="F294" s="1" t="str">
        <f>HYPERLINK("https://talan.bank.gov.ua/get-user-certificate/J5325FcMiz_NjjQrecQK","Завантажити сертифікат")</f>
        <v>Завантажити сертифікат</v>
      </c>
    </row>
    <row r="295" spans="1:6" x14ac:dyDescent="0.3">
      <c r="A295" s="2">
        <v>294</v>
      </c>
      <c r="B295" s="1" t="s">
        <v>627</v>
      </c>
      <c r="C295" s="1" t="s">
        <v>604</v>
      </c>
      <c r="D295" s="1" t="s">
        <v>605</v>
      </c>
      <c r="E295" s="1" t="s">
        <v>628</v>
      </c>
      <c r="F295" s="1" t="str">
        <f>HYPERLINK("https://talan.bank.gov.ua/get-user-certificate/J5325vvydCc8Sx1KSQEc","Завантажити сертифікат")</f>
        <v>Завантажити сертифікат</v>
      </c>
    </row>
    <row r="296" spans="1:6" ht="28.8" x14ac:dyDescent="0.3">
      <c r="A296" s="2">
        <v>295</v>
      </c>
      <c r="B296" s="1" t="s">
        <v>629</v>
      </c>
      <c r="C296" s="1" t="s">
        <v>630</v>
      </c>
      <c r="D296" s="1" t="s">
        <v>631</v>
      </c>
      <c r="E296" s="1" t="s">
        <v>632</v>
      </c>
      <c r="F296" s="1" t="str">
        <f>HYPERLINK("https://talan.bank.gov.ua/get-user-certificate/J5325CXxaxckJYsm35A4","Завантажити сертифікат")</f>
        <v>Завантажити сертифікат</v>
      </c>
    </row>
    <row r="297" spans="1:6" ht="28.8" x14ac:dyDescent="0.3">
      <c r="A297" s="2">
        <v>296</v>
      </c>
      <c r="B297" s="1" t="s">
        <v>633</v>
      </c>
      <c r="C297" s="1" t="s">
        <v>630</v>
      </c>
      <c r="D297" s="1" t="s">
        <v>631</v>
      </c>
      <c r="E297" s="1" t="s">
        <v>634</v>
      </c>
      <c r="F297" s="1" t="str">
        <f>HYPERLINK("https://talan.bank.gov.ua/get-user-certificate/J5325QjPLAZmYu3O84li","Завантажити сертифікат")</f>
        <v>Завантажити сертифікат</v>
      </c>
    </row>
    <row r="298" spans="1:6" ht="28.8" x14ac:dyDescent="0.3">
      <c r="A298" s="2">
        <v>297</v>
      </c>
      <c r="B298" s="1" t="s">
        <v>635</v>
      </c>
      <c r="C298" s="1" t="s">
        <v>630</v>
      </c>
      <c r="D298" s="1" t="s">
        <v>631</v>
      </c>
      <c r="E298" s="1" t="s">
        <v>636</v>
      </c>
      <c r="F298" s="1" t="str">
        <f>HYPERLINK("https://talan.bank.gov.ua/get-user-certificate/J53255lXigsIioXL9VYI","Завантажити сертифікат")</f>
        <v>Завантажити сертифікат</v>
      </c>
    </row>
    <row r="299" spans="1:6" ht="28.8" x14ac:dyDescent="0.3">
      <c r="A299" s="2">
        <v>298</v>
      </c>
      <c r="B299" s="1" t="s">
        <v>637</v>
      </c>
      <c r="C299" s="1" t="s">
        <v>630</v>
      </c>
      <c r="D299" s="1" t="s">
        <v>631</v>
      </c>
      <c r="E299" s="1" t="s">
        <v>638</v>
      </c>
      <c r="F299" s="1" t="str">
        <f>HYPERLINK("https://talan.bank.gov.ua/get-user-certificate/J5325kINx8BL1fx1os8R","Завантажити сертифікат")</f>
        <v>Завантажити сертифікат</v>
      </c>
    </row>
    <row r="300" spans="1:6" ht="28.8" x14ac:dyDescent="0.3">
      <c r="A300" s="2">
        <v>299</v>
      </c>
      <c r="B300" s="1" t="s">
        <v>639</v>
      </c>
      <c r="C300" s="1" t="s">
        <v>630</v>
      </c>
      <c r="D300" s="1" t="s">
        <v>631</v>
      </c>
      <c r="E300" s="1" t="s">
        <v>640</v>
      </c>
      <c r="F300" s="1" t="str">
        <f>HYPERLINK("https://talan.bank.gov.ua/get-user-certificate/J53250JuAGZUBfOwuRFT","Завантажити сертифікат")</f>
        <v>Завантажити сертифікат</v>
      </c>
    </row>
    <row r="301" spans="1:6" ht="28.8" x14ac:dyDescent="0.3">
      <c r="A301" s="2">
        <v>300</v>
      </c>
      <c r="B301" s="1" t="s">
        <v>641</v>
      </c>
      <c r="C301" s="1" t="s">
        <v>630</v>
      </c>
      <c r="D301" s="1" t="s">
        <v>631</v>
      </c>
      <c r="E301" s="1" t="s">
        <v>642</v>
      </c>
      <c r="F301" s="1" t="str">
        <f>HYPERLINK("https://talan.bank.gov.ua/get-user-certificate/J53256gZmOw0SLLjIHg-","Завантажити сертифікат")</f>
        <v>Завантажити сертифікат</v>
      </c>
    </row>
    <row r="302" spans="1:6" ht="28.8" x14ac:dyDescent="0.3">
      <c r="A302" s="2">
        <v>301</v>
      </c>
      <c r="B302" s="1" t="s">
        <v>643</v>
      </c>
      <c r="C302" s="1" t="s">
        <v>630</v>
      </c>
      <c r="D302" s="1" t="s">
        <v>631</v>
      </c>
      <c r="E302" s="1" t="s">
        <v>644</v>
      </c>
      <c r="F302" s="1" t="str">
        <f>HYPERLINK("https://talan.bank.gov.ua/get-user-certificate/J53256QREhVyoc-BJ0CD","Завантажити сертифікат")</f>
        <v>Завантажити сертифікат</v>
      </c>
    </row>
    <row r="303" spans="1:6" ht="28.8" x14ac:dyDescent="0.3">
      <c r="A303" s="2">
        <v>302</v>
      </c>
      <c r="B303" s="1" t="s">
        <v>645</v>
      </c>
      <c r="C303" s="1" t="s">
        <v>630</v>
      </c>
      <c r="D303" s="1" t="s">
        <v>631</v>
      </c>
      <c r="E303" s="1" t="s">
        <v>646</v>
      </c>
      <c r="F303" s="1" t="str">
        <f>HYPERLINK("https://talan.bank.gov.ua/get-user-certificate/J53250KDXgGx9p7ceFgU","Завантажити сертифікат")</f>
        <v>Завантажити сертифікат</v>
      </c>
    </row>
    <row r="304" spans="1:6" ht="28.8" x14ac:dyDescent="0.3">
      <c r="A304" s="2">
        <v>303</v>
      </c>
      <c r="B304" s="1" t="s">
        <v>647</v>
      </c>
      <c r="C304" s="1" t="s">
        <v>630</v>
      </c>
      <c r="D304" s="1" t="s">
        <v>631</v>
      </c>
      <c r="E304" s="1" t="s">
        <v>648</v>
      </c>
      <c r="F304" s="1" t="str">
        <f>HYPERLINK("https://talan.bank.gov.ua/get-user-certificate/J53251uS4CwhxMtCUtWs","Завантажити сертифікат")</f>
        <v>Завантажити сертифікат</v>
      </c>
    </row>
    <row r="305" spans="1:6" ht="28.8" x14ac:dyDescent="0.3">
      <c r="A305" s="2">
        <v>304</v>
      </c>
      <c r="B305" s="1" t="s">
        <v>649</v>
      </c>
      <c r="C305" s="1" t="s">
        <v>630</v>
      </c>
      <c r="D305" s="1" t="s">
        <v>631</v>
      </c>
      <c r="E305" s="1" t="s">
        <v>650</v>
      </c>
      <c r="F305" s="1" t="str">
        <f>HYPERLINK("https://talan.bank.gov.ua/get-user-certificate/J5325I_-Oal6BEzwKNjG","Завантажити сертифікат")</f>
        <v>Завантажити сертифікат</v>
      </c>
    </row>
    <row r="306" spans="1:6" ht="28.8" x14ac:dyDescent="0.3">
      <c r="A306" s="2">
        <v>305</v>
      </c>
      <c r="B306" s="1" t="s">
        <v>651</v>
      </c>
      <c r="C306" s="1" t="s">
        <v>630</v>
      </c>
      <c r="D306" s="1" t="s">
        <v>631</v>
      </c>
      <c r="E306" s="1" t="s">
        <v>652</v>
      </c>
      <c r="F306" s="1" t="str">
        <f>HYPERLINK("https://talan.bank.gov.ua/get-user-certificate/J5325aq8KETm4osR0nuq","Завантажити сертифікат")</f>
        <v>Завантажити сертифікат</v>
      </c>
    </row>
    <row r="307" spans="1:6" ht="28.8" x14ac:dyDescent="0.3">
      <c r="A307" s="2">
        <v>306</v>
      </c>
      <c r="B307" s="1" t="s">
        <v>653</v>
      </c>
      <c r="C307" s="1" t="s">
        <v>630</v>
      </c>
      <c r="D307" s="1" t="s">
        <v>631</v>
      </c>
      <c r="E307" s="1" t="s">
        <v>654</v>
      </c>
      <c r="F307" s="1" t="str">
        <f>HYPERLINK("https://talan.bank.gov.ua/get-user-certificate/J5325TvoUB0JvrlUKXxf","Завантажити сертифікат")</f>
        <v>Завантажити сертифікат</v>
      </c>
    </row>
    <row r="308" spans="1:6" ht="28.8" x14ac:dyDescent="0.3">
      <c r="A308" s="2">
        <v>307</v>
      </c>
      <c r="B308" s="1" t="s">
        <v>655</v>
      </c>
      <c r="C308" s="1" t="s">
        <v>630</v>
      </c>
      <c r="D308" s="1" t="s">
        <v>631</v>
      </c>
      <c r="E308" s="1" t="s">
        <v>656</v>
      </c>
      <c r="F308" s="1" t="str">
        <f>HYPERLINK("https://talan.bank.gov.ua/get-user-certificate/J5325RLzqGkWMLwyj61L","Завантажити сертифікат")</f>
        <v>Завантажити сертифікат</v>
      </c>
    </row>
    <row r="309" spans="1:6" ht="28.8" x14ac:dyDescent="0.3">
      <c r="A309" s="2">
        <v>308</v>
      </c>
      <c r="B309" s="1" t="s">
        <v>657</v>
      </c>
      <c r="C309" s="1" t="s">
        <v>630</v>
      </c>
      <c r="D309" s="1" t="s">
        <v>631</v>
      </c>
      <c r="E309" s="1" t="s">
        <v>658</v>
      </c>
      <c r="F309" s="1" t="str">
        <f>HYPERLINK("https://talan.bank.gov.ua/get-user-certificate/J53254rcu3kWubSM0Pu-","Завантажити сертифікат")</f>
        <v>Завантажити сертифікат</v>
      </c>
    </row>
    <row r="310" spans="1:6" ht="28.8" x14ac:dyDescent="0.3">
      <c r="A310" s="2">
        <v>309</v>
      </c>
      <c r="B310" s="1" t="s">
        <v>659</v>
      </c>
      <c r="C310" s="1" t="s">
        <v>630</v>
      </c>
      <c r="D310" s="1" t="s">
        <v>631</v>
      </c>
      <c r="E310" s="1" t="s">
        <v>660</v>
      </c>
      <c r="F310" s="1" t="str">
        <f>HYPERLINK("https://talan.bank.gov.ua/get-user-certificate/J5325dzhZ3MLTHoLctJE","Завантажити сертифікат")</f>
        <v>Завантажити сертифікат</v>
      </c>
    </row>
    <row r="311" spans="1:6" ht="28.8" x14ac:dyDescent="0.3">
      <c r="A311" s="2">
        <v>310</v>
      </c>
      <c r="B311" s="1" t="s">
        <v>661</v>
      </c>
      <c r="C311" s="1" t="s">
        <v>630</v>
      </c>
      <c r="D311" s="1" t="s">
        <v>631</v>
      </c>
      <c r="E311" s="1" t="s">
        <v>662</v>
      </c>
      <c r="F311" s="1" t="str">
        <f>HYPERLINK("https://talan.bank.gov.ua/get-user-certificate/J5325WrGn2ZVBN4WUG1J","Завантажити сертифікат")</f>
        <v>Завантажити сертифікат</v>
      </c>
    </row>
    <row r="312" spans="1:6" ht="28.8" x14ac:dyDescent="0.3">
      <c r="A312" s="2">
        <v>311</v>
      </c>
      <c r="B312" s="1" t="s">
        <v>663</v>
      </c>
      <c r="C312" s="1" t="s">
        <v>630</v>
      </c>
      <c r="D312" s="1" t="s">
        <v>631</v>
      </c>
      <c r="E312" s="1" t="s">
        <v>664</v>
      </c>
      <c r="F312" s="1" t="str">
        <f>HYPERLINK("https://talan.bank.gov.ua/get-user-certificate/J5325pmjIU4LMmbl_-_W","Завантажити сертифікат")</f>
        <v>Завантажити сертифікат</v>
      </c>
    </row>
    <row r="313" spans="1:6" ht="28.8" x14ac:dyDescent="0.3">
      <c r="A313" s="2">
        <v>312</v>
      </c>
      <c r="B313" s="1" t="s">
        <v>665</v>
      </c>
      <c r="C313" s="1" t="s">
        <v>630</v>
      </c>
      <c r="D313" s="1" t="s">
        <v>631</v>
      </c>
      <c r="E313" s="1" t="s">
        <v>666</v>
      </c>
      <c r="F313" s="1" t="str">
        <f>HYPERLINK("https://talan.bank.gov.ua/get-user-certificate/J5325l6WAVuM3uvI6jSg","Завантажити сертифікат")</f>
        <v>Завантажити сертифікат</v>
      </c>
    </row>
    <row r="314" spans="1:6" ht="28.8" x14ac:dyDescent="0.3">
      <c r="A314" s="2">
        <v>313</v>
      </c>
      <c r="B314" s="1" t="s">
        <v>667</v>
      </c>
      <c r="C314" s="1" t="s">
        <v>630</v>
      </c>
      <c r="D314" s="1" t="s">
        <v>631</v>
      </c>
      <c r="E314" s="1" t="s">
        <v>668</v>
      </c>
      <c r="F314" s="1" t="str">
        <f>HYPERLINK("https://talan.bank.gov.ua/get-user-certificate/J5325fi_RKcDxUGq2xL5","Завантажити сертифікат")</f>
        <v>Завантажити сертифікат</v>
      </c>
    </row>
    <row r="315" spans="1:6" ht="28.8" x14ac:dyDescent="0.3">
      <c r="A315" s="2">
        <v>314</v>
      </c>
      <c r="B315" s="1" t="s">
        <v>669</v>
      </c>
      <c r="C315" s="1" t="s">
        <v>630</v>
      </c>
      <c r="D315" s="1" t="s">
        <v>631</v>
      </c>
      <c r="E315" s="1" t="s">
        <v>670</v>
      </c>
      <c r="F315" s="1" t="str">
        <f>HYPERLINK("https://talan.bank.gov.ua/get-user-certificate/J5325ia5OSAGbeoQ8haH","Завантажити сертифікат")</f>
        <v>Завантажити сертифікат</v>
      </c>
    </row>
    <row r="316" spans="1:6" ht="28.8" x14ac:dyDescent="0.3">
      <c r="A316" s="2">
        <v>315</v>
      </c>
      <c r="B316" s="1" t="s">
        <v>671</v>
      </c>
      <c r="C316" s="1" t="s">
        <v>630</v>
      </c>
      <c r="D316" s="1" t="s">
        <v>631</v>
      </c>
      <c r="E316" s="1" t="s">
        <v>672</v>
      </c>
      <c r="F316" s="1" t="str">
        <f>HYPERLINK("https://talan.bank.gov.ua/get-user-certificate/J53256WiLT4nAmMSFA6y","Завантажити сертифікат")</f>
        <v>Завантажити сертифікат</v>
      </c>
    </row>
    <row r="317" spans="1:6" x14ac:dyDescent="0.3">
      <c r="A317" s="2">
        <v>316</v>
      </c>
      <c r="B317" s="1" t="s">
        <v>673</v>
      </c>
      <c r="C317" s="1" t="s">
        <v>674</v>
      </c>
      <c r="D317" s="1" t="s">
        <v>675</v>
      </c>
      <c r="E317" s="1" t="s">
        <v>676</v>
      </c>
      <c r="F317" s="1" t="str">
        <f>HYPERLINK("https://talan.bank.gov.ua/get-user-certificate/J5325rJot5Kt24ywWLWa","Завантажити сертифікат")</f>
        <v>Завантажити сертифікат</v>
      </c>
    </row>
    <row r="318" spans="1:6" x14ac:dyDescent="0.3">
      <c r="A318" s="2">
        <v>317</v>
      </c>
      <c r="B318" s="1" t="s">
        <v>677</v>
      </c>
      <c r="C318" s="1" t="s">
        <v>674</v>
      </c>
      <c r="D318" s="1" t="s">
        <v>675</v>
      </c>
      <c r="E318" s="1" t="s">
        <v>678</v>
      </c>
      <c r="F318" s="1" t="str">
        <f>HYPERLINK("https://talan.bank.gov.ua/get-user-certificate/J5325v1aoIvP3L0iqFGD","Завантажити сертифікат")</f>
        <v>Завантажити сертифікат</v>
      </c>
    </row>
    <row r="319" spans="1:6" x14ac:dyDescent="0.3">
      <c r="A319" s="2">
        <v>318</v>
      </c>
      <c r="B319" s="1" t="s">
        <v>679</v>
      </c>
      <c r="C319" s="1" t="s">
        <v>674</v>
      </c>
      <c r="D319" s="1" t="s">
        <v>675</v>
      </c>
      <c r="E319" s="1" t="s">
        <v>680</v>
      </c>
      <c r="F319" s="1" t="str">
        <f>HYPERLINK("https://talan.bank.gov.ua/get-user-certificate/J5325sGu6Xcs5XLahGnf","Завантажити сертифікат")</f>
        <v>Завантажити сертифікат</v>
      </c>
    </row>
    <row r="320" spans="1:6" x14ac:dyDescent="0.3">
      <c r="A320" s="2">
        <v>319</v>
      </c>
      <c r="B320" s="1" t="s">
        <v>681</v>
      </c>
      <c r="C320" s="1" t="s">
        <v>674</v>
      </c>
      <c r="D320" s="1" t="s">
        <v>675</v>
      </c>
      <c r="E320" s="1" t="s">
        <v>682</v>
      </c>
      <c r="F320" s="1" t="str">
        <f>HYPERLINK("https://talan.bank.gov.ua/get-user-certificate/J53256881JoQddTdexv8","Завантажити сертифікат")</f>
        <v>Завантажити сертифікат</v>
      </c>
    </row>
    <row r="321" spans="1:6" x14ac:dyDescent="0.3">
      <c r="A321" s="2">
        <v>320</v>
      </c>
      <c r="B321" s="1" t="s">
        <v>683</v>
      </c>
      <c r="C321" s="1" t="s">
        <v>674</v>
      </c>
      <c r="D321" s="1" t="s">
        <v>675</v>
      </c>
      <c r="E321" s="1" t="s">
        <v>684</v>
      </c>
      <c r="F321" s="1" t="str">
        <f>HYPERLINK("https://talan.bank.gov.ua/get-user-certificate/J5325wxG1xgm3Xe1pzqK","Завантажити сертифікат")</f>
        <v>Завантажити сертифікат</v>
      </c>
    </row>
    <row r="322" spans="1:6" x14ac:dyDescent="0.3">
      <c r="A322" s="2">
        <v>321</v>
      </c>
      <c r="B322" s="1" t="s">
        <v>685</v>
      </c>
      <c r="C322" s="1" t="s">
        <v>674</v>
      </c>
      <c r="D322" s="1" t="s">
        <v>675</v>
      </c>
      <c r="E322" s="1" t="s">
        <v>686</v>
      </c>
      <c r="F322" s="1" t="str">
        <f>HYPERLINK("https://talan.bank.gov.ua/get-user-certificate/J5325AYrEGF1SPuDcRVg","Завантажити сертифікат")</f>
        <v>Завантажити сертифікат</v>
      </c>
    </row>
    <row r="323" spans="1:6" x14ac:dyDescent="0.3">
      <c r="A323" s="2">
        <v>322</v>
      </c>
      <c r="B323" s="1" t="s">
        <v>687</v>
      </c>
      <c r="C323" s="1" t="s">
        <v>674</v>
      </c>
      <c r="D323" s="1" t="s">
        <v>675</v>
      </c>
      <c r="E323" s="1" t="s">
        <v>688</v>
      </c>
      <c r="F323" s="1" t="str">
        <f>HYPERLINK("https://talan.bank.gov.ua/get-user-certificate/J5325UFyTPVSk3-MKt6p","Завантажити сертифікат")</f>
        <v>Завантажити сертифікат</v>
      </c>
    </row>
    <row r="324" spans="1:6" x14ac:dyDescent="0.3">
      <c r="A324" s="2">
        <v>323</v>
      </c>
      <c r="B324" s="1" t="s">
        <v>689</v>
      </c>
      <c r="C324" s="1" t="s">
        <v>674</v>
      </c>
      <c r="D324" s="1" t="s">
        <v>675</v>
      </c>
      <c r="E324" s="1" t="s">
        <v>690</v>
      </c>
      <c r="F324" s="1" t="str">
        <f>HYPERLINK("https://talan.bank.gov.ua/get-user-certificate/J5325q-2rH9-4wwkhM7O","Завантажити сертифікат")</f>
        <v>Завантажити сертифікат</v>
      </c>
    </row>
    <row r="325" spans="1:6" x14ac:dyDescent="0.3">
      <c r="A325" s="2">
        <v>324</v>
      </c>
      <c r="B325" s="1" t="s">
        <v>691</v>
      </c>
      <c r="C325" s="1" t="s">
        <v>674</v>
      </c>
      <c r="D325" s="1" t="s">
        <v>675</v>
      </c>
      <c r="E325" s="1" t="s">
        <v>692</v>
      </c>
      <c r="F325" s="1" t="str">
        <f>HYPERLINK("https://talan.bank.gov.ua/get-user-certificate/J53252L07PKmW7eAzrC7","Завантажити сертифікат")</f>
        <v>Завантажити сертифікат</v>
      </c>
    </row>
    <row r="326" spans="1:6" x14ac:dyDescent="0.3">
      <c r="A326" s="2">
        <v>325</v>
      </c>
      <c r="B326" s="1" t="s">
        <v>693</v>
      </c>
      <c r="C326" s="1" t="s">
        <v>674</v>
      </c>
      <c r="D326" s="1" t="s">
        <v>675</v>
      </c>
      <c r="E326" s="1" t="s">
        <v>694</v>
      </c>
      <c r="F326" s="1" t="str">
        <f>HYPERLINK("https://talan.bank.gov.ua/get-user-certificate/J5325-n-OLmeSarKApgT","Завантажити сертифікат")</f>
        <v>Завантажити сертифікат</v>
      </c>
    </row>
    <row r="327" spans="1:6" x14ac:dyDescent="0.3">
      <c r="A327" s="2">
        <v>326</v>
      </c>
      <c r="B327" s="1" t="s">
        <v>695</v>
      </c>
      <c r="C327" s="1" t="s">
        <v>674</v>
      </c>
      <c r="D327" s="1" t="s">
        <v>675</v>
      </c>
      <c r="E327" s="1" t="s">
        <v>696</v>
      </c>
      <c r="F327" s="1" t="str">
        <f>HYPERLINK("https://talan.bank.gov.ua/get-user-certificate/J5325ewElNFq_3Lf-aA4","Завантажити сертифікат")</f>
        <v>Завантажити сертифікат</v>
      </c>
    </row>
    <row r="328" spans="1:6" x14ac:dyDescent="0.3">
      <c r="A328" s="2">
        <v>327</v>
      </c>
      <c r="B328" s="1" t="s">
        <v>697</v>
      </c>
      <c r="C328" s="1" t="s">
        <v>674</v>
      </c>
      <c r="D328" s="1" t="s">
        <v>675</v>
      </c>
      <c r="E328" s="1" t="s">
        <v>698</v>
      </c>
      <c r="F328" s="1" t="str">
        <f>HYPERLINK("https://talan.bank.gov.ua/get-user-certificate/J5325yfaZUyecDLE6Fy_","Завантажити сертифікат")</f>
        <v>Завантажити сертифікат</v>
      </c>
    </row>
    <row r="329" spans="1:6" ht="28.8" x14ac:dyDescent="0.3">
      <c r="A329" s="2">
        <v>328</v>
      </c>
      <c r="B329" s="1" t="s">
        <v>699</v>
      </c>
      <c r="C329" s="1" t="s">
        <v>674</v>
      </c>
      <c r="D329" s="1" t="s">
        <v>675</v>
      </c>
      <c r="E329" s="1" t="s">
        <v>700</v>
      </c>
      <c r="F329" s="1" t="str">
        <f>HYPERLINK("https://talan.bank.gov.ua/get-user-certificate/J5325s9OsIBEqxU2MMUZ","Завантажити сертифікат")</f>
        <v>Завантажити сертифікат</v>
      </c>
    </row>
    <row r="330" spans="1:6" x14ac:dyDescent="0.3">
      <c r="A330" s="2">
        <v>329</v>
      </c>
      <c r="B330" s="1" t="s">
        <v>701</v>
      </c>
      <c r="C330" s="1" t="s">
        <v>674</v>
      </c>
      <c r="D330" s="1" t="s">
        <v>675</v>
      </c>
      <c r="E330" s="1" t="s">
        <v>702</v>
      </c>
      <c r="F330" s="1" t="str">
        <f>HYPERLINK("https://talan.bank.gov.ua/get-user-certificate/J5325FQiKocWtvaE_BJJ","Завантажити сертифікат")</f>
        <v>Завантажити сертифікат</v>
      </c>
    </row>
    <row r="331" spans="1:6" x14ac:dyDescent="0.3">
      <c r="A331" s="2">
        <v>330</v>
      </c>
      <c r="B331" s="1" t="s">
        <v>703</v>
      </c>
      <c r="C331" s="1" t="s">
        <v>674</v>
      </c>
      <c r="D331" s="1" t="s">
        <v>675</v>
      </c>
      <c r="E331" s="1" t="s">
        <v>704</v>
      </c>
      <c r="F331" s="1" t="str">
        <f>HYPERLINK("https://talan.bank.gov.ua/get-user-certificate/J5325k9BlqT1SelzzNHN","Завантажити сертифікат")</f>
        <v>Завантажити сертифікат</v>
      </c>
    </row>
    <row r="332" spans="1:6" ht="43.2" x14ac:dyDescent="0.3">
      <c r="A332" s="2">
        <v>331</v>
      </c>
      <c r="B332" s="1" t="s">
        <v>705</v>
      </c>
      <c r="C332" s="1" t="s">
        <v>706</v>
      </c>
      <c r="D332" s="1" t="s">
        <v>707</v>
      </c>
      <c r="E332" s="1" t="s">
        <v>708</v>
      </c>
      <c r="F332" s="1" t="str">
        <f>HYPERLINK("https://talan.bank.gov.ua/get-user-certificate/J5325Uup9EPC_ELZtWUw","Завантажити сертифікат")</f>
        <v>Завантажити сертифікат</v>
      </c>
    </row>
    <row r="333" spans="1:6" ht="43.2" x14ac:dyDescent="0.3">
      <c r="A333" s="2">
        <v>332</v>
      </c>
      <c r="B333" s="1" t="s">
        <v>709</v>
      </c>
      <c r="C333" s="1" t="s">
        <v>706</v>
      </c>
      <c r="D333" s="1" t="s">
        <v>707</v>
      </c>
      <c r="E333" s="1" t="s">
        <v>710</v>
      </c>
      <c r="F333" s="1" t="str">
        <f>HYPERLINK("https://talan.bank.gov.ua/get-user-certificate/J5325LPuAhNGeSq4jEy9","Завантажити сертифікат")</f>
        <v>Завантажити сертифікат</v>
      </c>
    </row>
    <row r="334" spans="1:6" ht="43.2" x14ac:dyDescent="0.3">
      <c r="A334" s="2">
        <v>333</v>
      </c>
      <c r="B334" s="1" t="s">
        <v>711</v>
      </c>
      <c r="C334" s="1" t="s">
        <v>706</v>
      </c>
      <c r="D334" s="1" t="s">
        <v>707</v>
      </c>
      <c r="E334" s="1" t="s">
        <v>712</v>
      </c>
      <c r="F334" s="1" t="str">
        <f>HYPERLINK("https://talan.bank.gov.ua/get-user-certificate/J5325S_tAt5rXf5vUxa7","Завантажити сертифікат")</f>
        <v>Завантажити сертифікат</v>
      </c>
    </row>
    <row r="335" spans="1:6" ht="43.2" x14ac:dyDescent="0.3">
      <c r="A335" s="2">
        <v>334</v>
      </c>
      <c r="B335" s="1" t="s">
        <v>713</v>
      </c>
      <c r="C335" s="1" t="s">
        <v>706</v>
      </c>
      <c r="D335" s="1" t="s">
        <v>707</v>
      </c>
      <c r="E335" s="1" t="s">
        <v>714</v>
      </c>
      <c r="F335" s="1" t="str">
        <f>HYPERLINK("https://talan.bank.gov.ua/get-user-certificate/J53257ZK-JC2ZsIuGeBe","Завантажити сертифікат")</f>
        <v>Завантажити сертифікат</v>
      </c>
    </row>
    <row r="336" spans="1:6" ht="43.2" x14ac:dyDescent="0.3">
      <c r="A336" s="2">
        <v>335</v>
      </c>
      <c r="B336" s="1" t="s">
        <v>715</v>
      </c>
      <c r="C336" s="1" t="s">
        <v>706</v>
      </c>
      <c r="D336" s="1" t="s">
        <v>707</v>
      </c>
      <c r="E336" s="1" t="s">
        <v>716</v>
      </c>
      <c r="F336" s="1" t="str">
        <f>HYPERLINK("https://talan.bank.gov.ua/get-user-certificate/J5325HV8AjCfBb8c4iTg","Завантажити сертифікат")</f>
        <v>Завантажити сертифікат</v>
      </c>
    </row>
    <row r="337" spans="1:6" ht="43.2" x14ac:dyDescent="0.3">
      <c r="A337" s="2">
        <v>336</v>
      </c>
      <c r="B337" s="1" t="s">
        <v>717</v>
      </c>
      <c r="C337" s="1" t="s">
        <v>706</v>
      </c>
      <c r="D337" s="1" t="s">
        <v>707</v>
      </c>
      <c r="E337" s="1" t="s">
        <v>718</v>
      </c>
      <c r="F337" s="1" t="str">
        <f>HYPERLINK("https://talan.bank.gov.ua/get-user-certificate/J5325UwIDJj23k-2O1gq","Завантажити сертифікат")</f>
        <v>Завантажити сертифікат</v>
      </c>
    </row>
    <row r="338" spans="1:6" ht="43.2" x14ac:dyDescent="0.3">
      <c r="A338" s="2">
        <v>337</v>
      </c>
      <c r="B338" s="1" t="s">
        <v>719</v>
      </c>
      <c r="C338" s="1" t="s">
        <v>706</v>
      </c>
      <c r="D338" s="1" t="s">
        <v>707</v>
      </c>
      <c r="E338" s="1" t="s">
        <v>720</v>
      </c>
      <c r="F338" s="1" t="str">
        <f>HYPERLINK("https://talan.bank.gov.ua/get-user-certificate/J5325jGJ1IHCSLQQ5N7V","Завантажити сертифікат")</f>
        <v>Завантажити сертифікат</v>
      </c>
    </row>
    <row r="339" spans="1:6" ht="43.2" x14ac:dyDescent="0.3">
      <c r="A339" s="2">
        <v>338</v>
      </c>
      <c r="B339" s="1" t="s">
        <v>721</v>
      </c>
      <c r="C339" s="1" t="s">
        <v>706</v>
      </c>
      <c r="D339" s="1" t="s">
        <v>707</v>
      </c>
      <c r="E339" s="1" t="s">
        <v>722</v>
      </c>
      <c r="F339" s="1" t="str">
        <f>HYPERLINK("https://talan.bank.gov.ua/get-user-certificate/J5325xzCY_woVGv4kiWk","Завантажити сертифікат")</f>
        <v>Завантажити сертифікат</v>
      </c>
    </row>
    <row r="340" spans="1:6" ht="43.2" x14ac:dyDescent="0.3">
      <c r="A340" s="2">
        <v>339</v>
      </c>
      <c r="B340" s="1" t="s">
        <v>723</v>
      </c>
      <c r="C340" s="1" t="s">
        <v>706</v>
      </c>
      <c r="D340" s="1" t="s">
        <v>707</v>
      </c>
      <c r="E340" s="1" t="s">
        <v>724</v>
      </c>
      <c r="F340" s="1" t="str">
        <f>HYPERLINK("https://talan.bank.gov.ua/get-user-certificate/J5325ezRtRZ-OEM5fibV","Завантажити сертифікат")</f>
        <v>Завантажити сертифікат</v>
      </c>
    </row>
    <row r="341" spans="1:6" ht="43.2" x14ac:dyDescent="0.3">
      <c r="A341" s="2">
        <v>340</v>
      </c>
      <c r="B341" s="1" t="s">
        <v>725</v>
      </c>
      <c r="C341" s="1" t="s">
        <v>706</v>
      </c>
      <c r="D341" s="1" t="s">
        <v>707</v>
      </c>
      <c r="E341" s="1" t="s">
        <v>726</v>
      </c>
      <c r="F341" s="1" t="str">
        <f>HYPERLINK("https://talan.bank.gov.ua/get-user-certificate/J5325IEqtwwAFeROPW_j","Завантажити сертифікат")</f>
        <v>Завантажити сертифікат</v>
      </c>
    </row>
    <row r="342" spans="1:6" ht="43.2" x14ac:dyDescent="0.3">
      <c r="A342" s="2">
        <v>341</v>
      </c>
      <c r="B342" s="1" t="s">
        <v>727</v>
      </c>
      <c r="C342" s="1" t="s">
        <v>706</v>
      </c>
      <c r="D342" s="1" t="s">
        <v>707</v>
      </c>
      <c r="E342" s="1" t="s">
        <v>728</v>
      </c>
      <c r="F342" s="1" t="str">
        <f>HYPERLINK("https://talan.bank.gov.ua/get-user-certificate/J5325OGNwMGUQjTDOtKd","Завантажити сертифікат")</f>
        <v>Завантажити сертифікат</v>
      </c>
    </row>
    <row r="343" spans="1:6" ht="43.2" x14ac:dyDescent="0.3">
      <c r="A343" s="2">
        <v>342</v>
      </c>
      <c r="B343" s="1" t="s">
        <v>729</v>
      </c>
      <c r="C343" s="1" t="s">
        <v>706</v>
      </c>
      <c r="D343" s="1" t="s">
        <v>707</v>
      </c>
      <c r="E343" s="1" t="s">
        <v>730</v>
      </c>
      <c r="F343" s="1" t="str">
        <f>HYPERLINK("https://talan.bank.gov.ua/get-user-certificate/J5325P_UR5jB9YxyuFwe","Завантажити сертифікат")</f>
        <v>Завантажити сертифікат</v>
      </c>
    </row>
    <row r="344" spans="1:6" ht="43.2" x14ac:dyDescent="0.3">
      <c r="A344" s="2">
        <v>343</v>
      </c>
      <c r="B344" s="1" t="s">
        <v>731</v>
      </c>
      <c r="C344" s="1" t="s">
        <v>706</v>
      </c>
      <c r="D344" s="1" t="s">
        <v>707</v>
      </c>
      <c r="E344" s="1" t="s">
        <v>732</v>
      </c>
      <c r="F344" s="1" t="str">
        <f>HYPERLINK("https://talan.bank.gov.ua/get-user-certificate/J5325yZa3vOQzb0fduDj","Завантажити сертифікат")</f>
        <v>Завантажити сертифікат</v>
      </c>
    </row>
    <row r="345" spans="1:6" ht="28.8" x14ac:dyDescent="0.3">
      <c r="A345" s="2">
        <v>344</v>
      </c>
      <c r="B345" s="1" t="s">
        <v>733</v>
      </c>
      <c r="C345" s="1" t="s">
        <v>734</v>
      </c>
      <c r="D345" s="1" t="s">
        <v>735</v>
      </c>
      <c r="E345" s="1" t="s">
        <v>736</v>
      </c>
      <c r="F345" s="1" t="str">
        <f>HYPERLINK("https://talan.bank.gov.ua/get-user-certificate/J5325-8pkAY2LP81tTfa","Завантажити сертифікат")</f>
        <v>Завантажити сертифікат</v>
      </c>
    </row>
    <row r="346" spans="1:6" ht="28.8" x14ac:dyDescent="0.3">
      <c r="A346" s="2">
        <v>345</v>
      </c>
      <c r="B346" s="1" t="s">
        <v>737</v>
      </c>
      <c r="C346" s="1" t="s">
        <v>738</v>
      </c>
      <c r="D346" s="1" t="s">
        <v>739</v>
      </c>
      <c r="E346" s="1" t="s">
        <v>740</v>
      </c>
      <c r="F346" s="1" t="str">
        <f>HYPERLINK("https://talan.bank.gov.ua/get-user-certificate/J5325oHi7NV1-wwSKDR-","Завантажити сертифікат")</f>
        <v>Завантажити сертифікат</v>
      </c>
    </row>
    <row r="347" spans="1:6" ht="28.8" x14ac:dyDescent="0.3">
      <c r="A347" s="2">
        <v>346</v>
      </c>
      <c r="B347" s="1" t="s">
        <v>741</v>
      </c>
      <c r="C347" s="1" t="s">
        <v>738</v>
      </c>
      <c r="D347" s="1" t="s">
        <v>739</v>
      </c>
      <c r="E347" s="1" t="s">
        <v>742</v>
      </c>
      <c r="F347" s="1" t="str">
        <f>HYPERLINK("https://talan.bank.gov.ua/get-user-certificate/J5325QswE9wiuHVdWqUs","Завантажити сертифікат")</f>
        <v>Завантажити сертифікат</v>
      </c>
    </row>
    <row r="348" spans="1:6" ht="28.8" x14ac:dyDescent="0.3">
      <c r="A348" s="2">
        <v>347</v>
      </c>
      <c r="B348" s="1" t="s">
        <v>743</v>
      </c>
      <c r="C348" s="1" t="s">
        <v>738</v>
      </c>
      <c r="D348" s="1" t="s">
        <v>739</v>
      </c>
      <c r="E348" s="1" t="s">
        <v>744</v>
      </c>
      <c r="F348" s="1" t="str">
        <f>HYPERLINK("https://talan.bank.gov.ua/get-user-certificate/J5325GALVV3w_JaTP2P0","Завантажити сертифікат")</f>
        <v>Завантажити сертифікат</v>
      </c>
    </row>
    <row r="349" spans="1:6" ht="28.8" x14ac:dyDescent="0.3">
      <c r="A349" s="2">
        <v>348</v>
      </c>
      <c r="B349" s="1" t="s">
        <v>745</v>
      </c>
      <c r="C349" s="1" t="s">
        <v>738</v>
      </c>
      <c r="D349" s="1" t="s">
        <v>739</v>
      </c>
      <c r="E349" s="1" t="s">
        <v>746</v>
      </c>
      <c r="F349" s="1" t="str">
        <f>HYPERLINK("https://talan.bank.gov.ua/get-user-certificate/J5325oUVRScrXmSw27jl","Завантажити сертифікат")</f>
        <v>Завантажити сертифікат</v>
      </c>
    </row>
    <row r="350" spans="1:6" ht="28.8" x14ac:dyDescent="0.3">
      <c r="A350" s="2">
        <v>349</v>
      </c>
      <c r="B350" s="1" t="s">
        <v>747</v>
      </c>
      <c r="C350" s="1" t="s">
        <v>738</v>
      </c>
      <c r="D350" s="1" t="s">
        <v>739</v>
      </c>
      <c r="E350" s="1" t="s">
        <v>748</v>
      </c>
      <c r="F350" s="1" t="str">
        <f>HYPERLINK("https://talan.bank.gov.ua/get-user-certificate/J5325GTk342mPsOXldDh","Завантажити сертифікат")</f>
        <v>Завантажити сертифікат</v>
      </c>
    </row>
    <row r="351" spans="1:6" ht="28.8" x14ac:dyDescent="0.3">
      <c r="A351" s="2">
        <v>350</v>
      </c>
      <c r="B351" s="1" t="s">
        <v>749</v>
      </c>
      <c r="C351" s="1" t="s">
        <v>738</v>
      </c>
      <c r="D351" s="1" t="s">
        <v>739</v>
      </c>
      <c r="E351" s="1" t="s">
        <v>750</v>
      </c>
      <c r="F351" s="1" t="str">
        <f>HYPERLINK("https://talan.bank.gov.ua/get-user-certificate/J5325jKfJC_8UeqeOW-9","Завантажити сертифікат")</f>
        <v>Завантажити сертифікат</v>
      </c>
    </row>
    <row r="352" spans="1:6" ht="28.8" x14ac:dyDescent="0.3">
      <c r="A352" s="2">
        <v>351</v>
      </c>
      <c r="B352" s="1" t="s">
        <v>751</v>
      </c>
      <c r="C352" s="1" t="s">
        <v>738</v>
      </c>
      <c r="D352" s="1" t="s">
        <v>739</v>
      </c>
      <c r="E352" s="1" t="s">
        <v>752</v>
      </c>
      <c r="F352" s="1" t="str">
        <f>HYPERLINK("https://talan.bank.gov.ua/get-user-certificate/J5325MRPSWeVjJRrV7KM","Завантажити сертифікат")</f>
        <v>Завантажити сертифікат</v>
      </c>
    </row>
    <row r="353" spans="1:6" ht="28.8" x14ac:dyDescent="0.3">
      <c r="A353" s="2">
        <v>352</v>
      </c>
      <c r="B353" s="1" t="s">
        <v>753</v>
      </c>
      <c r="C353" s="1" t="s">
        <v>738</v>
      </c>
      <c r="D353" s="1" t="s">
        <v>739</v>
      </c>
      <c r="E353" s="1" t="s">
        <v>754</v>
      </c>
      <c r="F353" s="1" t="str">
        <f>HYPERLINK("https://talan.bank.gov.ua/get-user-certificate/J5325jSn-IA2pQ_LcMVA","Завантажити сертифікат")</f>
        <v>Завантажити сертифікат</v>
      </c>
    </row>
    <row r="354" spans="1:6" ht="28.8" x14ac:dyDescent="0.3">
      <c r="A354" s="2">
        <v>353</v>
      </c>
      <c r="B354" s="1" t="s">
        <v>755</v>
      </c>
      <c r="C354" s="1" t="s">
        <v>738</v>
      </c>
      <c r="D354" s="1" t="s">
        <v>739</v>
      </c>
      <c r="E354" s="1" t="s">
        <v>756</v>
      </c>
      <c r="F354" s="1" t="str">
        <f>HYPERLINK("https://talan.bank.gov.ua/get-user-certificate/J53259iS_bpWyZdVSmql","Завантажити сертифікат")</f>
        <v>Завантажити сертифікат</v>
      </c>
    </row>
    <row r="355" spans="1:6" ht="28.8" x14ac:dyDescent="0.3">
      <c r="A355" s="2">
        <v>354</v>
      </c>
      <c r="B355" s="1" t="s">
        <v>757</v>
      </c>
      <c r="C355" s="1" t="s">
        <v>758</v>
      </c>
      <c r="D355" s="1" t="s">
        <v>759</v>
      </c>
      <c r="E355" s="1" t="s">
        <v>760</v>
      </c>
      <c r="F355" s="1" t="str">
        <f>HYPERLINK("https://talan.bank.gov.ua/get-user-certificate/J5325-epae6uLJXi0gUU","Завантажити сертифікат")</f>
        <v>Завантажити сертифікат</v>
      </c>
    </row>
    <row r="356" spans="1:6" ht="28.8" x14ac:dyDescent="0.3">
      <c r="A356" s="2">
        <v>355</v>
      </c>
      <c r="B356" s="1" t="s">
        <v>761</v>
      </c>
      <c r="C356" s="1" t="s">
        <v>758</v>
      </c>
      <c r="D356" s="1" t="s">
        <v>759</v>
      </c>
      <c r="E356" s="1" t="s">
        <v>762</v>
      </c>
      <c r="F356" s="1" t="str">
        <f>HYPERLINK("https://talan.bank.gov.ua/get-user-certificate/J5325PldtCIxIpCfiy64","Завантажити сертифікат")</f>
        <v>Завантажити сертифікат</v>
      </c>
    </row>
    <row r="357" spans="1:6" ht="28.8" x14ac:dyDescent="0.3">
      <c r="A357" s="2">
        <v>356</v>
      </c>
      <c r="B357" s="1" t="s">
        <v>763</v>
      </c>
      <c r="C357" s="1" t="s">
        <v>758</v>
      </c>
      <c r="D357" s="1" t="s">
        <v>759</v>
      </c>
      <c r="E357" s="1" t="s">
        <v>764</v>
      </c>
      <c r="F357" s="1" t="str">
        <f>HYPERLINK("https://talan.bank.gov.ua/get-user-certificate/J5325rqyfKSVNagZnMsu","Завантажити сертифікат")</f>
        <v>Завантажити сертифікат</v>
      </c>
    </row>
    <row r="358" spans="1:6" ht="28.8" x14ac:dyDescent="0.3">
      <c r="A358" s="2">
        <v>357</v>
      </c>
      <c r="B358" s="1" t="s">
        <v>765</v>
      </c>
      <c r="C358" s="1" t="s">
        <v>758</v>
      </c>
      <c r="D358" s="1" t="s">
        <v>759</v>
      </c>
      <c r="E358" s="1" t="s">
        <v>766</v>
      </c>
      <c r="F358" s="1" t="str">
        <f>HYPERLINK("https://talan.bank.gov.ua/get-user-certificate/J5325UK1VO01A3TI8cDE","Завантажити сертифікат")</f>
        <v>Завантажити сертифікат</v>
      </c>
    </row>
    <row r="359" spans="1:6" ht="28.8" x14ac:dyDescent="0.3">
      <c r="A359" s="2">
        <v>358</v>
      </c>
      <c r="B359" s="1" t="s">
        <v>767</v>
      </c>
      <c r="C359" s="1" t="s">
        <v>758</v>
      </c>
      <c r="D359" s="1" t="s">
        <v>759</v>
      </c>
      <c r="E359" s="1" t="s">
        <v>768</v>
      </c>
      <c r="F359" s="1" t="str">
        <f>HYPERLINK("https://talan.bank.gov.ua/get-user-certificate/J5325BxL6ptDhlJgstui","Завантажити сертифікат")</f>
        <v>Завантажити сертифікат</v>
      </c>
    </row>
    <row r="360" spans="1:6" ht="28.8" x14ac:dyDescent="0.3">
      <c r="A360" s="2">
        <v>359</v>
      </c>
      <c r="B360" s="1" t="s">
        <v>769</v>
      </c>
      <c r="C360" s="1" t="s">
        <v>758</v>
      </c>
      <c r="D360" s="1" t="s">
        <v>759</v>
      </c>
      <c r="E360" s="1" t="s">
        <v>770</v>
      </c>
      <c r="F360" s="1" t="str">
        <f>HYPERLINK("https://talan.bank.gov.ua/get-user-certificate/J5325O7hN51ZNcDtW_Y_","Завантажити сертифікат")</f>
        <v>Завантажити сертифікат</v>
      </c>
    </row>
    <row r="361" spans="1:6" ht="28.8" x14ac:dyDescent="0.3">
      <c r="A361" s="2">
        <v>360</v>
      </c>
      <c r="B361" s="1" t="s">
        <v>771</v>
      </c>
      <c r="C361" s="1" t="s">
        <v>758</v>
      </c>
      <c r="D361" s="1" t="s">
        <v>759</v>
      </c>
      <c r="E361" s="1" t="s">
        <v>772</v>
      </c>
      <c r="F361" s="1" t="str">
        <f>HYPERLINK("https://talan.bank.gov.ua/get-user-certificate/J5325x11Pz9ENHKblqxL","Завантажити сертифікат")</f>
        <v>Завантажити сертифікат</v>
      </c>
    </row>
    <row r="362" spans="1:6" ht="28.8" x14ac:dyDescent="0.3">
      <c r="A362" s="2">
        <v>361</v>
      </c>
      <c r="B362" s="1" t="s">
        <v>773</v>
      </c>
      <c r="C362" s="1" t="s">
        <v>758</v>
      </c>
      <c r="D362" s="1" t="s">
        <v>759</v>
      </c>
      <c r="E362" s="1" t="s">
        <v>774</v>
      </c>
      <c r="F362" s="1" t="str">
        <f>HYPERLINK("https://talan.bank.gov.ua/get-user-certificate/J5325OXdetn0pl33AEZ8","Завантажити сертифікат")</f>
        <v>Завантажити сертифікат</v>
      </c>
    </row>
    <row r="363" spans="1:6" ht="28.8" x14ac:dyDescent="0.3">
      <c r="A363" s="2">
        <v>362</v>
      </c>
      <c r="B363" s="1" t="s">
        <v>775</v>
      </c>
      <c r="C363" s="1" t="s">
        <v>758</v>
      </c>
      <c r="D363" s="1" t="s">
        <v>759</v>
      </c>
      <c r="E363" s="1" t="s">
        <v>776</v>
      </c>
      <c r="F363" s="1" t="str">
        <f>HYPERLINK("https://talan.bank.gov.ua/get-user-certificate/J53256nqS8E8vHdqaimW","Завантажити сертифікат")</f>
        <v>Завантажити сертифікат</v>
      </c>
    </row>
    <row r="364" spans="1:6" ht="28.8" x14ac:dyDescent="0.3">
      <c r="A364" s="2">
        <v>363</v>
      </c>
      <c r="B364" s="1" t="s">
        <v>777</v>
      </c>
      <c r="C364" s="1" t="s">
        <v>758</v>
      </c>
      <c r="D364" s="1" t="s">
        <v>759</v>
      </c>
      <c r="E364" s="1" t="s">
        <v>778</v>
      </c>
      <c r="F364" s="1" t="str">
        <f>HYPERLINK("https://talan.bank.gov.ua/get-user-certificate/J5325yhOcf7cu2y3WFQ_","Завантажити сертифікат")</f>
        <v>Завантажити сертифікат</v>
      </c>
    </row>
    <row r="365" spans="1:6" ht="28.8" x14ac:dyDescent="0.3">
      <c r="A365" s="2">
        <v>364</v>
      </c>
      <c r="B365" s="1" t="s">
        <v>779</v>
      </c>
      <c r="C365" s="1" t="s">
        <v>758</v>
      </c>
      <c r="D365" s="1" t="s">
        <v>759</v>
      </c>
      <c r="E365" s="1" t="s">
        <v>780</v>
      </c>
      <c r="F365" s="1" t="str">
        <f>HYPERLINK("https://talan.bank.gov.ua/get-user-certificate/J5325ro0y5K_mxQJC542","Завантажити сертифікат")</f>
        <v>Завантажити сертифікат</v>
      </c>
    </row>
    <row r="366" spans="1:6" ht="28.8" x14ac:dyDescent="0.3">
      <c r="A366" s="2">
        <v>365</v>
      </c>
      <c r="B366" s="1" t="s">
        <v>781</v>
      </c>
      <c r="C366" s="1" t="s">
        <v>758</v>
      </c>
      <c r="D366" s="1" t="s">
        <v>759</v>
      </c>
      <c r="E366" s="1" t="s">
        <v>782</v>
      </c>
      <c r="F366" s="1" t="str">
        <f>HYPERLINK("https://talan.bank.gov.ua/get-user-certificate/J5325GVskWiY1ix2i0bW","Завантажити сертифікат")</f>
        <v>Завантажити сертифікат</v>
      </c>
    </row>
    <row r="367" spans="1:6" ht="28.8" x14ac:dyDescent="0.3">
      <c r="A367" s="2">
        <v>366</v>
      </c>
      <c r="B367" s="1" t="s">
        <v>783</v>
      </c>
      <c r="C367" s="1" t="s">
        <v>758</v>
      </c>
      <c r="D367" s="1" t="s">
        <v>759</v>
      </c>
      <c r="E367" s="1" t="s">
        <v>784</v>
      </c>
      <c r="F367" s="1" t="str">
        <f>HYPERLINK("https://talan.bank.gov.ua/get-user-certificate/J5325-6MjYYWfj_G9VKV","Завантажити сертифікат")</f>
        <v>Завантажити сертифікат</v>
      </c>
    </row>
    <row r="368" spans="1:6" ht="28.8" x14ac:dyDescent="0.3">
      <c r="A368" s="2">
        <v>367</v>
      </c>
      <c r="B368" s="1" t="s">
        <v>785</v>
      </c>
      <c r="C368" s="1" t="s">
        <v>758</v>
      </c>
      <c r="D368" s="1" t="s">
        <v>759</v>
      </c>
      <c r="E368" s="1" t="s">
        <v>786</v>
      </c>
      <c r="F368" s="1" t="str">
        <f>HYPERLINK("https://talan.bank.gov.ua/get-user-certificate/J5325Y0xZzWLAsk14c4s","Завантажити сертифікат")</f>
        <v>Завантажити сертифікат</v>
      </c>
    </row>
    <row r="369" spans="1:6" ht="28.8" x14ac:dyDescent="0.3">
      <c r="A369" s="2">
        <v>368</v>
      </c>
      <c r="B369" s="1" t="s">
        <v>787</v>
      </c>
      <c r="C369" s="1" t="s">
        <v>758</v>
      </c>
      <c r="D369" s="1" t="s">
        <v>759</v>
      </c>
      <c r="E369" s="1" t="s">
        <v>788</v>
      </c>
      <c r="F369" s="1" t="str">
        <f>HYPERLINK("https://talan.bank.gov.ua/get-user-certificate/J5325413Q6d-4qjr0IIs","Завантажити сертифікат")</f>
        <v>Завантажити сертифікат</v>
      </c>
    </row>
    <row r="370" spans="1:6" ht="28.8" x14ac:dyDescent="0.3">
      <c r="A370" s="2">
        <v>369</v>
      </c>
      <c r="B370" s="1" t="s">
        <v>789</v>
      </c>
      <c r="C370" s="1" t="s">
        <v>758</v>
      </c>
      <c r="D370" s="1" t="s">
        <v>759</v>
      </c>
      <c r="E370" s="1" t="s">
        <v>790</v>
      </c>
      <c r="F370" s="1" t="str">
        <f>HYPERLINK("https://talan.bank.gov.ua/get-user-certificate/J5325tb5EqhR-FwnLdYM","Завантажити сертифікат")</f>
        <v>Завантажити сертифікат</v>
      </c>
    </row>
    <row r="371" spans="1:6" ht="28.8" x14ac:dyDescent="0.3">
      <c r="A371" s="2">
        <v>370</v>
      </c>
      <c r="B371" s="1" t="s">
        <v>791</v>
      </c>
      <c r="C371" s="1" t="s">
        <v>758</v>
      </c>
      <c r="D371" s="1" t="s">
        <v>759</v>
      </c>
      <c r="E371" s="1" t="s">
        <v>792</v>
      </c>
      <c r="F371" s="1" t="str">
        <f>HYPERLINK("https://talan.bank.gov.ua/get-user-certificate/J5325ORV4adcDU7goIgY","Завантажити сертифікат")</f>
        <v>Завантажити сертифікат</v>
      </c>
    </row>
    <row r="372" spans="1:6" ht="28.8" x14ac:dyDescent="0.3">
      <c r="A372" s="2">
        <v>371</v>
      </c>
      <c r="B372" s="1" t="s">
        <v>793</v>
      </c>
      <c r="C372" s="1" t="s">
        <v>758</v>
      </c>
      <c r="D372" s="1" t="s">
        <v>759</v>
      </c>
      <c r="E372" s="1" t="s">
        <v>794</v>
      </c>
      <c r="F372" s="1" t="str">
        <f>HYPERLINK("https://talan.bank.gov.ua/get-user-certificate/J5325y8c0GVqPtbTcIOO","Завантажити сертифікат")</f>
        <v>Завантажити сертифікат</v>
      </c>
    </row>
    <row r="373" spans="1:6" ht="28.8" x14ac:dyDescent="0.3">
      <c r="A373" s="2">
        <v>372</v>
      </c>
      <c r="B373" s="1" t="s">
        <v>795</v>
      </c>
      <c r="C373" s="1" t="s">
        <v>758</v>
      </c>
      <c r="D373" s="1" t="s">
        <v>759</v>
      </c>
      <c r="E373" s="1" t="s">
        <v>796</v>
      </c>
      <c r="F373" s="1" t="str">
        <f>HYPERLINK("https://talan.bank.gov.ua/get-user-certificate/J5325BLQvtxXByNmKWxD","Завантажити сертифікат")</f>
        <v>Завантажити сертифікат</v>
      </c>
    </row>
    <row r="374" spans="1:6" ht="28.8" x14ac:dyDescent="0.3">
      <c r="A374" s="2">
        <v>373</v>
      </c>
      <c r="B374" s="1" t="s">
        <v>797</v>
      </c>
      <c r="C374" s="1" t="s">
        <v>758</v>
      </c>
      <c r="D374" s="1" t="s">
        <v>759</v>
      </c>
      <c r="E374" s="1" t="s">
        <v>798</v>
      </c>
      <c r="F374" s="1" t="str">
        <f>HYPERLINK("https://talan.bank.gov.ua/get-user-certificate/J5325zifXHJxHtQDGGSA","Завантажити сертифікат")</f>
        <v>Завантажити сертифікат</v>
      </c>
    </row>
    <row r="375" spans="1:6" ht="28.8" x14ac:dyDescent="0.3">
      <c r="A375" s="2">
        <v>374</v>
      </c>
      <c r="B375" s="1" t="s">
        <v>799</v>
      </c>
      <c r="C375" s="1" t="s">
        <v>758</v>
      </c>
      <c r="D375" s="1" t="s">
        <v>759</v>
      </c>
      <c r="E375" s="1" t="s">
        <v>800</v>
      </c>
      <c r="F375" s="1" t="str">
        <f>HYPERLINK("https://talan.bank.gov.ua/get-user-certificate/J5325TA-Kof1P01rfpkK","Завантажити сертифікат")</f>
        <v>Завантажити сертифікат</v>
      </c>
    </row>
    <row r="376" spans="1:6" ht="28.8" x14ac:dyDescent="0.3">
      <c r="A376" s="2">
        <v>375</v>
      </c>
      <c r="B376" s="1" t="s">
        <v>801</v>
      </c>
      <c r="C376" s="1" t="s">
        <v>758</v>
      </c>
      <c r="D376" s="1" t="s">
        <v>759</v>
      </c>
      <c r="E376" s="1" t="s">
        <v>802</v>
      </c>
      <c r="F376" s="1" t="str">
        <f>HYPERLINK("https://talan.bank.gov.ua/get-user-certificate/J5325ZuKMicI7U3MuyDA","Завантажити сертифікат")</f>
        <v>Завантажити сертифікат</v>
      </c>
    </row>
    <row r="377" spans="1:6" ht="28.8" x14ac:dyDescent="0.3">
      <c r="A377" s="2">
        <v>376</v>
      </c>
      <c r="B377" s="1" t="s">
        <v>803</v>
      </c>
      <c r="C377" s="1" t="s">
        <v>758</v>
      </c>
      <c r="D377" s="1" t="s">
        <v>759</v>
      </c>
      <c r="E377" s="1" t="s">
        <v>804</v>
      </c>
      <c r="F377" s="1" t="str">
        <f>HYPERLINK("https://talan.bank.gov.ua/get-user-certificate/J5325ZF-KgwfTRpIjPM5","Завантажити сертифікат")</f>
        <v>Завантажити сертифікат</v>
      </c>
    </row>
    <row r="378" spans="1:6" ht="28.8" x14ac:dyDescent="0.3">
      <c r="A378" s="2">
        <v>377</v>
      </c>
      <c r="B378" s="1" t="s">
        <v>805</v>
      </c>
      <c r="C378" s="1" t="s">
        <v>758</v>
      </c>
      <c r="D378" s="1" t="s">
        <v>759</v>
      </c>
      <c r="E378" s="1" t="s">
        <v>806</v>
      </c>
      <c r="F378" s="1" t="str">
        <f>HYPERLINK("https://talan.bank.gov.ua/get-user-certificate/J5325AYBwZp3u9SxXybt","Завантажити сертифікат")</f>
        <v>Завантажити сертифікат</v>
      </c>
    </row>
    <row r="379" spans="1:6" ht="28.8" x14ac:dyDescent="0.3">
      <c r="A379" s="2">
        <v>378</v>
      </c>
      <c r="B379" s="1" t="s">
        <v>807</v>
      </c>
      <c r="C379" s="1" t="s">
        <v>758</v>
      </c>
      <c r="D379" s="1" t="s">
        <v>759</v>
      </c>
      <c r="E379" s="1" t="s">
        <v>808</v>
      </c>
      <c r="F379" s="1" t="str">
        <f>HYPERLINK("https://talan.bank.gov.ua/get-user-certificate/J5325DnUl4hpe4hXZ4F2","Завантажити сертифікат")</f>
        <v>Завантажити сертифікат</v>
      </c>
    </row>
    <row r="380" spans="1:6" ht="28.8" x14ac:dyDescent="0.3">
      <c r="A380" s="2">
        <v>379</v>
      </c>
      <c r="B380" s="1" t="s">
        <v>809</v>
      </c>
      <c r="C380" s="1" t="s">
        <v>758</v>
      </c>
      <c r="D380" s="1" t="s">
        <v>759</v>
      </c>
      <c r="E380" s="1" t="s">
        <v>810</v>
      </c>
      <c r="F380" s="1" t="str">
        <f>HYPERLINK("https://talan.bank.gov.ua/get-user-certificate/J5325yDjmvNba6f6TfEB","Завантажити сертифікат")</f>
        <v>Завантажити сертифікат</v>
      </c>
    </row>
    <row r="381" spans="1:6" ht="28.8" x14ac:dyDescent="0.3">
      <c r="A381" s="2">
        <v>380</v>
      </c>
      <c r="B381" s="1" t="s">
        <v>811</v>
      </c>
      <c r="C381" s="1" t="s">
        <v>758</v>
      </c>
      <c r="D381" s="1" t="s">
        <v>759</v>
      </c>
      <c r="E381" s="1" t="s">
        <v>812</v>
      </c>
      <c r="F381" s="1" t="str">
        <f>HYPERLINK("https://talan.bank.gov.ua/get-user-certificate/J5325CbDK-FkDAuSaVVJ","Завантажити сертифікат")</f>
        <v>Завантажити сертифікат</v>
      </c>
    </row>
    <row r="382" spans="1:6" ht="28.8" x14ac:dyDescent="0.3">
      <c r="A382" s="2">
        <v>381</v>
      </c>
      <c r="B382" s="1" t="s">
        <v>813</v>
      </c>
      <c r="C382" s="1" t="s">
        <v>758</v>
      </c>
      <c r="D382" s="1" t="s">
        <v>759</v>
      </c>
      <c r="E382" s="1" t="s">
        <v>814</v>
      </c>
      <c r="F382" s="1" t="str">
        <f>HYPERLINK("https://talan.bank.gov.ua/get-user-certificate/J5325bTEQDjNmR5_Tzb-","Завантажити сертифікат")</f>
        <v>Завантажити сертифікат</v>
      </c>
    </row>
    <row r="383" spans="1:6" ht="28.8" x14ac:dyDescent="0.3">
      <c r="A383" s="2">
        <v>382</v>
      </c>
      <c r="B383" s="1" t="s">
        <v>815</v>
      </c>
      <c r="C383" s="1" t="s">
        <v>758</v>
      </c>
      <c r="D383" s="1" t="s">
        <v>759</v>
      </c>
      <c r="E383" s="1" t="s">
        <v>816</v>
      </c>
      <c r="F383" s="1" t="str">
        <f>HYPERLINK("https://talan.bank.gov.ua/get-user-certificate/J5325kdYLazve1XiPjJ1","Завантажити сертифікат")</f>
        <v>Завантажити сертифікат</v>
      </c>
    </row>
    <row r="384" spans="1:6" ht="28.8" x14ac:dyDescent="0.3">
      <c r="A384" s="2">
        <v>383</v>
      </c>
      <c r="B384" s="1" t="s">
        <v>817</v>
      </c>
      <c r="C384" s="1" t="s">
        <v>758</v>
      </c>
      <c r="D384" s="1" t="s">
        <v>759</v>
      </c>
      <c r="E384" s="1" t="s">
        <v>818</v>
      </c>
      <c r="F384" s="1" t="str">
        <f>HYPERLINK("https://talan.bank.gov.ua/get-user-certificate/J53254H3cUHqU6lWzihR","Завантажити сертифікат")</f>
        <v>Завантажити сертифікат</v>
      </c>
    </row>
    <row r="385" spans="1:6" ht="28.8" x14ac:dyDescent="0.3">
      <c r="A385" s="2">
        <v>384</v>
      </c>
      <c r="B385" s="1" t="s">
        <v>819</v>
      </c>
      <c r="C385" s="1" t="s">
        <v>758</v>
      </c>
      <c r="D385" s="1" t="s">
        <v>759</v>
      </c>
      <c r="E385" s="1" t="s">
        <v>820</v>
      </c>
      <c r="F385" s="1" t="str">
        <f>HYPERLINK("https://talan.bank.gov.ua/get-user-certificate/J532560r8_G8CrVFs_P9","Завантажити сертифікат")</f>
        <v>Завантажити сертифікат</v>
      </c>
    </row>
    <row r="386" spans="1:6" ht="28.8" x14ac:dyDescent="0.3">
      <c r="A386" s="2">
        <v>385</v>
      </c>
      <c r="B386" s="1" t="s">
        <v>821</v>
      </c>
      <c r="C386" s="1" t="s">
        <v>758</v>
      </c>
      <c r="D386" s="1" t="s">
        <v>759</v>
      </c>
      <c r="E386" s="1" t="s">
        <v>822</v>
      </c>
      <c r="F386" s="1" t="str">
        <f>HYPERLINK("https://talan.bank.gov.ua/get-user-certificate/J5325sIR7v01zwVA0w0f","Завантажити сертифікат")</f>
        <v>Завантажити сертифікат</v>
      </c>
    </row>
    <row r="387" spans="1:6" ht="28.8" x14ac:dyDescent="0.3">
      <c r="A387" s="2">
        <v>386</v>
      </c>
      <c r="B387" s="1" t="s">
        <v>823</v>
      </c>
      <c r="C387" s="1" t="s">
        <v>758</v>
      </c>
      <c r="D387" s="1" t="s">
        <v>759</v>
      </c>
      <c r="E387" s="1" t="s">
        <v>824</v>
      </c>
      <c r="F387" s="1" t="str">
        <f>HYPERLINK("https://talan.bank.gov.ua/get-user-certificate/J5325k5KR2VFilY1CSdW","Завантажити сертифікат")</f>
        <v>Завантажити сертифікат</v>
      </c>
    </row>
    <row r="388" spans="1:6" ht="28.8" x14ac:dyDescent="0.3">
      <c r="A388" s="2">
        <v>387</v>
      </c>
      <c r="B388" s="1" t="s">
        <v>825</v>
      </c>
      <c r="C388" s="1" t="s">
        <v>758</v>
      </c>
      <c r="D388" s="1" t="s">
        <v>759</v>
      </c>
      <c r="E388" s="1" t="s">
        <v>826</v>
      </c>
      <c r="F388" s="1" t="str">
        <f>HYPERLINK("https://talan.bank.gov.ua/get-user-certificate/J5325-V47uh3Cx2dFDlS","Завантажити сертифікат")</f>
        <v>Завантажити сертифікат</v>
      </c>
    </row>
    <row r="389" spans="1:6" ht="28.8" x14ac:dyDescent="0.3">
      <c r="A389" s="2">
        <v>388</v>
      </c>
      <c r="B389" s="1" t="s">
        <v>827</v>
      </c>
      <c r="C389" s="1" t="s">
        <v>758</v>
      </c>
      <c r="D389" s="1" t="s">
        <v>759</v>
      </c>
      <c r="E389" s="1" t="s">
        <v>828</v>
      </c>
      <c r="F389" s="1" t="str">
        <f>HYPERLINK("https://talan.bank.gov.ua/get-user-certificate/J5325qffdG2meXytyiCW","Завантажити сертифікат")</f>
        <v>Завантажити сертифікат</v>
      </c>
    </row>
    <row r="390" spans="1:6" ht="28.8" x14ac:dyDescent="0.3">
      <c r="A390" s="2">
        <v>389</v>
      </c>
      <c r="B390" s="1" t="s">
        <v>829</v>
      </c>
      <c r="C390" s="1" t="s">
        <v>758</v>
      </c>
      <c r="D390" s="1" t="s">
        <v>759</v>
      </c>
      <c r="E390" s="1" t="s">
        <v>830</v>
      </c>
      <c r="F390" s="1" t="str">
        <f>HYPERLINK("https://talan.bank.gov.ua/get-user-certificate/J53257cz2QqLOlQC6uli","Завантажити сертифікат")</f>
        <v>Завантажити сертифікат</v>
      </c>
    </row>
    <row r="391" spans="1:6" ht="28.8" x14ac:dyDescent="0.3">
      <c r="A391" s="2">
        <v>390</v>
      </c>
      <c r="B391" s="1" t="s">
        <v>831</v>
      </c>
      <c r="C391" s="1" t="s">
        <v>758</v>
      </c>
      <c r="D391" s="1" t="s">
        <v>759</v>
      </c>
      <c r="E391" s="1" t="s">
        <v>832</v>
      </c>
      <c r="F391" s="1" t="str">
        <f>HYPERLINK("https://talan.bank.gov.ua/get-user-certificate/J5325HMzP7osYuSISuQg","Завантажити сертифікат")</f>
        <v>Завантажити сертифікат</v>
      </c>
    </row>
    <row r="392" spans="1:6" ht="28.8" x14ac:dyDescent="0.3">
      <c r="A392" s="2">
        <v>391</v>
      </c>
      <c r="B392" s="1" t="s">
        <v>833</v>
      </c>
      <c r="C392" s="1" t="s">
        <v>758</v>
      </c>
      <c r="D392" s="1" t="s">
        <v>759</v>
      </c>
      <c r="E392" s="1" t="s">
        <v>834</v>
      </c>
      <c r="F392" s="1" t="str">
        <f>HYPERLINK("https://talan.bank.gov.ua/get-user-certificate/J5325bP-7ZdWaa-XQiYl","Завантажити сертифікат")</f>
        <v>Завантажити сертифікат</v>
      </c>
    </row>
    <row r="393" spans="1:6" ht="28.8" x14ac:dyDescent="0.3">
      <c r="A393" s="2">
        <v>392</v>
      </c>
      <c r="B393" s="1" t="s">
        <v>835</v>
      </c>
      <c r="C393" s="1" t="s">
        <v>758</v>
      </c>
      <c r="D393" s="1" t="s">
        <v>759</v>
      </c>
      <c r="E393" s="1" t="s">
        <v>836</v>
      </c>
      <c r="F393" s="1" t="str">
        <f>HYPERLINK("https://talan.bank.gov.ua/get-user-certificate/J5325fEOelkghivKUrta","Завантажити сертифікат")</f>
        <v>Завантажити сертифікат</v>
      </c>
    </row>
    <row r="394" spans="1:6" ht="28.8" x14ac:dyDescent="0.3">
      <c r="A394" s="2">
        <v>393</v>
      </c>
      <c r="B394" s="1" t="s">
        <v>837</v>
      </c>
      <c r="C394" s="1" t="s">
        <v>758</v>
      </c>
      <c r="D394" s="1" t="s">
        <v>759</v>
      </c>
      <c r="E394" s="1" t="s">
        <v>838</v>
      </c>
      <c r="F394" s="1" t="str">
        <f>HYPERLINK("https://talan.bank.gov.ua/get-user-certificate/J5325sDAO2Bv78yT-Cxq","Завантажити сертифікат")</f>
        <v>Завантажити сертифікат</v>
      </c>
    </row>
    <row r="395" spans="1:6" ht="28.8" x14ac:dyDescent="0.3">
      <c r="A395" s="2">
        <v>394</v>
      </c>
      <c r="B395" s="1" t="s">
        <v>839</v>
      </c>
      <c r="C395" s="1" t="s">
        <v>758</v>
      </c>
      <c r="D395" s="1" t="s">
        <v>759</v>
      </c>
      <c r="E395" s="1" t="s">
        <v>840</v>
      </c>
      <c r="F395" s="1" t="str">
        <f>HYPERLINK("https://talan.bank.gov.ua/get-user-certificate/J5325lAJXxjzkPzGtL3l","Завантажити сертифікат")</f>
        <v>Завантажити сертифікат</v>
      </c>
    </row>
    <row r="396" spans="1:6" ht="28.8" x14ac:dyDescent="0.3">
      <c r="A396" s="2">
        <v>395</v>
      </c>
      <c r="B396" s="1" t="s">
        <v>841</v>
      </c>
      <c r="C396" s="1" t="s">
        <v>758</v>
      </c>
      <c r="D396" s="1" t="s">
        <v>759</v>
      </c>
      <c r="E396" s="1" t="s">
        <v>842</v>
      </c>
      <c r="F396" s="1" t="str">
        <f>HYPERLINK("https://talan.bank.gov.ua/get-user-certificate/J5325xoiUcEG-9Cb_xLv","Завантажити сертифікат")</f>
        <v>Завантажити сертифікат</v>
      </c>
    </row>
    <row r="397" spans="1:6" ht="28.8" x14ac:dyDescent="0.3">
      <c r="A397" s="2">
        <v>396</v>
      </c>
      <c r="B397" s="1" t="s">
        <v>843</v>
      </c>
      <c r="C397" s="1" t="s">
        <v>758</v>
      </c>
      <c r="D397" s="1" t="s">
        <v>759</v>
      </c>
      <c r="E397" s="1" t="s">
        <v>844</v>
      </c>
      <c r="F397" s="1" t="str">
        <f>HYPERLINK("https://talan.bank.gov.ua/get-user-certificate/J5325Ea95SzZgft6XVNX","Завантажити сертифікат")</f>
        <v>Завантажити сертифікат</v>
      </c>
    </row>
    <row r="398" spans="1:6" ht="28.8" x14ac:dyDescent="0.3">
      <c r="A398" s="2">
        <v>397</v>
      </c>
      <c r="B398" s="1" t="s">
        <v>845</v>
      </c>
      <c r="C398" s="1" t="s">
        <v>758</v>
      </c>
      <c r="D398" s="1" t="s">
        <v>759</v>
      </c>
      <c r="E398" s="1" t="s">
        <v>846</v>
      </c>
      <c r="F398" s="1" t="str">
        <f>HYPERLINK("https://talan.bank.gov.ua/get-user-certificate/J5325CcOeZsUPzo49j9N","Завантажити сертифікат")</f>
        <v>Завантажити сертифікат</v>
      </c>
    </row>
    <row r="399" spans="1:6" ht="28.8" x14ac:dyDescent="0.3">
      <c r="A399" s="2">
        <v>398</v>
      </c>
      <c r="B399" s="1" t="s">
        <v>847</v>
      </c>
      <c r="C399" s="1" t="s">
        <v>758</v>
      </c>
      <c r="D399" s="1" t="s">
        <v>759</v>
      </c>
      <c r="E399" s="1" t="s">
        <v>848</v>
      </c>
      <c r="F399" s="1" t="str">
        <f>HYPERLINK("https://talan.bank.gov.ua/get-user-certificate/J5325aNDOWBsY1szlqtU","Завантажити сертифікат")</f>
        <v>Завантажити сертифікат</v>
      </c>
    </row>
    <row r="400" spans="1:6" ht="28.8" x14ac:dyDescent="0.3">
      <c r="A400" s="2">
        <v>399</v>
      </c>
      <c r="B400" s="1" t="s">
        <v>849</v>
      </c>
      <c r="C400" s="1" t="s">
        <v>758</v>
      </c>
      <c r="D400" s="1" t="s">
        <v>759</v>
      </c>
      <c r="E400" s="1" t="s">
        <v>850</v>
      </c>
      <c r="F400" s="1" t="str">
        <f>HYPERLINK("https://talan.bank.gov.ua/get-user-certificate/J5325IGtAfbmvbKfBK8E","Завантажити сертифікат")</f>
        <v>Завантажити сертифікат</v>
      </c>
    </row>
    <row r="401" spans="1:6" ht="28.8" x14ac:dyDescent="0.3">
      <c r="A401" s="2">
        <v>400</v>
      </c>
      <c r="B401" s="1" t="s">
        <v>851</v>
      </c>
      <c r="C401" s="1" t="s">
        <v>758</v>
      </c>
      <c r="D401" s="1" t="s">
        <v>759</v>
      </c>
      <c r="E401" s="1" t="s">
        <v>852</v>
      </c>
      <c r="F401" s="1" t="str">
        <f>HYPERLINK("https://talan.bank.gov.ua/get-user-certificate/J5325lZ8Jd2jpsW-oYw1","Завантажити сертифікат")</f>
        <v>Завантажити сертифікат</v>
      </c>
    </row>
    <row r="402" spans="1:6" ht="28.8" x14ac:dyDescent="0.3">
      <c r="A402" s="2">
        <v>401</v>
      </c>
      <c r="B402" s="1" t="s">
        <v>853</v>
      </c>
      <c r="C402" s="1" t="s">
        <v>758</v>
      </c>
      <c r="D402" s="1" t="s">
        <v>759</v>
      </c>
      <c r="E402" s="1" t="s">
        <v>854</v>
      </c>
      <c r="F402" s="1" t="str">
        <f>HYPERLINK("https://talan.bank.gov.ua/get-user-certificate/J5325LIa-nn23KZurruz","Завантажити сертифікат")</f>
        <v>Завантажити сертифікат</v>
      </c>
    </row>
    <row r="403" spans="1:6" ht="28.8" x14ac:dyDescent="0.3">
      <c r="A403" s="2">
        <v>402</v>
      </c>
      <c r="B403" s="1" t="s">
        <v>855</v>
      </c>
      <c r="C403" s="1" t="s">
        <v>758</v>
      </c>
      <c r="D403" s="1" t="s">
        <v>759</v>
      </c>
      <c r="E403" s="1" t="s">
        <v>856</v>
      </c>
      <c r="F403" s="1" t="str">
        <f>HYPERLINK("https://talan.bank.gov.ua/get-user-certificate/J5325xPDzj6rHu-igiUM","Завантажити сертифікат")</f>
        <v>Завантажити сертифікат</v>
      </c>
    </row>
    <row r="404" spans="1:6" ht="28.8" x14ac:dyDescent="0.3">
      <c r="A404" s="2">
        <v>403</v>
      </c>
      <c r="B404" s="1" t="s">
        <v>857</v>
      </c>
      <c r="C404" s="1" t="s">
        <v>758</v>
      </c>
      <c r="D404" s="1" t="s">
        <v>759</v>
      </c>
      <c r="E404" s="1" t="s">
        <v>858</v>
      </c>
      <c r="F404" s="1" t="str">
        <f>HYPERLINK("https://talan.bank.gov.ua/get-user-certificate/J5325mueQMA4ZQViFHXU","Завантажити сертифікат")</f>
        <v>Завантажити сертифікат</v>
      </c>
    </row>
    <row r="405" spans="1:6" ht="28.8" x14ac:dyDescent="0.3">
      <c r="A405" s="2">
        <v>404</v>
      </c>
      <c r="B405" s="1" t="s">
        <v>859</v>
      </c>
      <c r="C405" s="1" t="s">
        <v>758</v>
      </c>
      <c r="D405" s="1" t="s">
        <v>759</v>
      </c>
      <c r="E405" s="1" t="s">
        <v>860</v>
      </c>
      <c r="F405" s="1" t="str">
        <f>HYPERLINK("https://talan.bank.gov.ua/get-user-certificate/J5325yvP-Jh30MENDs5x","Завантажити сертифікат")</f>
        <v>Завантажити сертифікат</v>
      </c>
    </row>
    <row r="406" spans="1:6" ht="28.8" x14ac:dyDescent="0.3">
      <c r="A406" s="2">
        <v>405</v>
      </c>
      <c r="B406" s="1" t="s">
        <v>861</v>
      </c>
      <c r="C406" s="1" t="s">
        <v>758</v>
      </c>
      <c r="D406" s="1" t="s">
        <v>759</v>
      </c>
      <c r="E406" s="1" t="s">
        <v>862</v>
      </c>
      <c r="F406" s="1" t="str">
        <f>HYPERLINK("https://talan.bank.gov.ua/get-user-certificate/J5325V46K5RtsWbnCoDL","Завантажити сертифікат")</f>
        <v>Завантажити сертифікат</v>
      </c>
    </row>
    <row r="407" spans="1:6" ht="28.8" x14ac:dyDescent="0.3">
      <c r="A407" s="2">
        <v>406</v>
      </c>
      <c r="B407" s="1" t="s">
        <v>863</v>
      </c>
      <c r="C407" s="1" t="s">
        <v>758</v>
      </c>
      <c r="D407" s="1" t="s">
        <v>759</v>
      </c>
      <c r="E407" s="1" t="s">
        <v>864</v>
      </c>
      <c r="F407" s="1" t="str">
        <f>HYPERLINK("https://talan.bank.gov.ua/get-user-certificate/J5325BUX51aFS07_JEzF","Завантажити сертифікат")</f>
        <v>Завантажити сертифікат</v>
      </c>
    </row>
    <row r="408" spans="1:6" ht="28.8" x14ac:dyDescent="0.3">
      <c r="A408" s="2">
        <v>407</v>
      </c>
      <c r="B408" s="1" t="s">
        <v>865</v>
      </c>
      <c r="C408" s="1" t="s">
        <v>758</v>
      </c>
      <c r="D408" s="1" t="s">
        <v>759</v>
      </c>
      <c r="E408" s="1" t="s">
        <v>866</v>
      </c>
      <c r="F408" s="1" t="str">
        <f>HYPERLINK("https://talan.bank.gov.ua/get-user-certificate/J53257g0gJnunV65t7Tl","Завантажити сертифікат")</f>
        <v>Завантажити сертифікат</v>
      </c>
    </row>
    <row r="409" spans="1:6" ht="28.8" x14ac:dyDescent="0.3">
      <c r="A409" s="2">
        <v>408</v>
      </c>
      <c r="B409" s="1" t="s">
        <v>867</v>
      </c>
      <c r="C409" s="1" t="s">
        <v>758</v>
      </c>
      <c r="D409" s="1" t="s">
        <v>759</v>
      </c>
      <c r="E409" s="1" t="s">
        <v>868</v>
      </c>
      <c r="F409" s="1" t="str">
        <f>HYPERLINK("https://talan.bank.gov.ua/get-user-certificate/J5325joIBZQynZ_3W2Kv","Завантажити сертифікат")</f>
        <v>Завантажити сертифікат</v>
      </c>
    </row>
    <row r="410" spans="1:6" ht="28.8" x14ac:dyDescent="0.3">
      <c r="A410" s="2">
        <v>409</v>
      </c>
      <c r="B410" s="1" t="s">
        <v>869</v>
      </c>
      <c r="C410" s="1" t="s">
        <v>758</v>
      </c>
      <c r="D410" s="1" t="s">
        <v>759</v>
      </c>
      <c r="E410" s="1" t="s">
        <v>870</v>
      </c>
      <c r="F410" s="1" t="str">
        <f>HYPERLINK("https://talan.bank.gov.ua/get-user-certificate/J5325HLtNpqdzW2sCV3V","Завантажити сертифікат")</f>
        <v>Завантажити сертифікат</v>
      </c>
    </row>
    <row r="411" spans="1:6" ht="28.8" x14ac:dyDescent="0.3">
      <c r="A411" s="2">
        <v>410</v>
      </c>
      <c r="B411" s="1" t="s">
        <v>871</v>
      </c>
      <c r="C411" s="1" t="s">
        <v>758</v>
      </c>
      <c r="D411" s="1" t="s">
        <v>759</v>
      </c>
      <c r="E411" s="1" t="s">
        <v>872</v>
      </c>
      <c r="F411" s="1" t="str">
        <f>HYPERLINK("https://talan.bank.gov.ua/get-user-certificate/J5325zSp25nYdX_oD7nx","Завантажити сертифікат")</f>
        <v>Завантажити сертифікат</v>
      </c>
    </row>
    <row r="412" spans="1:6" ht="28.8" x14ac:dyDescent="0.3">
      <c r="A412" s="2">
        <v>411</v>
      </c>
      <c r="B412" s="1" t="s">
        <v>873</v>
      </c>
      <c r="C412" s="1" t="s">
        <v>758</v>
      </c>
      <c r="D412" s="1" t="s">
        <v>759</v>
      </c>
      <c r="E412" s="1" t="s">
        <v>874</v>
      </c>
      <c r="F412" s="1" t="str">
        <f>HYPERLINK("https://talan.bank.gov.ua/get-user-certificate/J5325DGn5or0KNDRK1RO","Завантажити сертифікат")</f>
        <v>Завантажити сертифікат</v>
      </c>
    </row>
    <row r="413" spans="1:6" ht="28.8" x14ac:dyDescent="0.3">
      <c r="A413" s="2">
        <v>412</v>
      </c>
      <c r="B413" s="1" t="s">
        <v>875</v>
      </c>
      <c r="C413" s="1" t="s">
        <v>758</v>
      </c>
      <c r="D413" s="1" t="s">
        <v>759</v>
      </c>
      <c r="E413" s="1" t="s">
        <v>876</v>
      </c>
      <c r="F413" s="1" t="str">
        <f>HYPERLINK("https://talan.bank.gov.ua/get-user-certificate/J5325zgdbvSiX-TqbAG2","Завантажити сертифікат")</f>
        <v>Завантажити сертифікат</v>
      </c>
    </row>
    <row r="414" spans="1:6" ht="28.8" x14ac:dyDescent="0.3">
      <c r="A414" s="2">
        <v>413</v>
      </c>
      <c r="B414" s="1" t="s">
        <v>877</v>
      </c>
      <c r="C414" s="1" t="s">
        <v>758</v>
      </c>
      <c r="D414" s="1" t="s">
        <v>759</v>
      </c>
      <c r="E414" s="1" t="s">
        <v>878</v>
      </c>
      <c r="F414" s="1" t="str">
        <f>HYPERLINK("https://talan.bank.gov.ua/get-user-certificate/J5325zLOtxBI7W97HvQN","Завантажити сертифікат")</f>
        <v>Завантажити сертифікат</v>
      </c>
    </row>
    <row r="415" spans="1:6" ht="28.8" x14ac:dyDescent="0.3">
      <c r="A415" s="2">
        <v>414</v>
      </c>
      <c r="B415" s="1" t="s">
        <v>879</v>
      </c>
      <c r="C415" s="1" t="s">
        <v>758</v>
      </c>
      <c r="D415" s="1" t="s">
        <v>759</v>
      </c>
      <c r="E415" s="1" t="s">
        <v>880</v>
      </c>
      <c r="F415" s="1" t="str">
        <f>HYPERLINK("https://talan.bank.gov.ua/get-user-certificate/J5325gmmIiWvJWqHhilH","Завантажити сертифікат")</f>
        <v>Завантажити сертифікат</v>
      </c>
    </row>
    <row r="416" spans="1:6" ht="28.8" x14ac:dyDescent="0.3">
      <c r="A416" s="2">
        <v>415</v>
      </c>
      <c r="B416" s="1" t="s">
        <v>881</v>
      </c>
      <c r="C416" s="1" t="s">
        <v>758</v>
      </c>
      <c r="D416" s="1" t="s">
        <v>759</v>
      </c>
      <c r="E416" s="1" t="s">
        <v>882</v>
      </c>
      <c r="F416" s="1" t="str">
        <f>HYPERLINK("https://talan.bank.gov.ua/get-user-certificate/J5325hzMbFD6P3wzt-W1","Завантажити сертифікат")</f>
        <v>Завантажити сертифікат</v>
      </c>
    </row>
    <row r="417" spans="1:6" ht="28.8" x14ac:dyDescent="0.3">
      <c r="A417" s="2">
        <v>416</v>
      </c>
      <c r="B417" s="1" t="s">
        <v>883</v>
      </c>
      <c r="C417" s="1" t="s">
        <v>758</v>
      </c>
      <c r="D417" s="1" t="s">
        <v>759</v>
      </c>
      <c r="E417" s="1" t="s">
        <v>884</v>
      </c>
      <c r="F417" s="1" t="str">
        <f>HYPERLINK("https://talan.bank.gov.ua/get-user-certificate/J5325g7aX7U3UTOAHyVf","Завантажити сертифікат")</f>
        <v>Завантажити сертифікат</v>
      </c>
    </row>
    <row r="418" spans="1:6" ht="28.8" x14ac:dyDescent="0.3">
      <c r="A418" s="2">
        <v>417</v>
      </c>
      <c r="B418" s="1" t="s">
        <v>885</v>
      </c>
      <c r="C418" s="1" t="s">
        <v>758</v>
      </c>
      <c r="D418" s="1" t="s">
        <v>759</v>
      </c>
      <c r="E418" s="1" t="s">
        <v>886</v>
      </c>
      <c r="F418" s="1" t="str">
        <f>HYPERLINK("https://talan.bank.gov.ua/get-user-certificate/J5325XYI8YZxQbVUdhzm","Завантажити сертифікат")</f>
        <v>Завантажити сертифікат</v>
      </c>
    </row>
    <row r="419" spans="1:6" ht="28.8" x14ac:dyDescent="0.3">
      <c r="A419" s="2">
        <v>418</v>
      </c>
      <c r="B419" s="1" t="s">
        <v>887</v>
      </c>
      <c r="C419" s="1" t="s">
        <v>758</v>
      </c>
      <c r="D419" s="1" t="s">
        <v>759</v>
      </c>
      <c r="E419" s="1" t="s">
        <v>888</v>
      </c>
      <c r="F419" s="1" t="str">
        <f>HYPERLINK("https://talan.bank.gov.ua/get-user-certificate/J5325RDq3QDWH640B4Rg","Завантажити сертифікат")</f>
        <v>Завантажити сертифікат</v>
      </c>
    </row>
    <row r="420" spans="1:6" ht="28.8" x14ac:dyDescent="0.3">
      <c r="A420" s="2">
        <v>419</v>
      </c>
      <c r="B420" s="1" t="s">
        <v>889</v>
      </c>
      <c r="C420" s="1" t="s">
        <v>758</v>
      </c>
      <c r="D420" s="1" t="s">
        <v>759</v>
      </c>
      <c r="E420" s="1" t="s">
        <v>890</v>
      </c>
      <c r="F420" s="1" t="str">
        <f>HYPERLINK("https://talan.bank.gov.ua/get-user-certificate/J5325s2IGDlwGq9AFTca","Завантажити сертифікат")</f>
        <v>Завантажити сертифікат</v>
      </c>
    </row>
    <row r="421" spans="1:6" ht="28.8" x14ac:dyDescent="0.3">
      <c r="A421" s="2">
        <v>420</v>
      </c>
      <c r="B421" s="1" t="s">
        <v>891</v>
      </c>
      <c r="C421" s="1" t="s">
        <v>758</v>
      </c>
      <c r="D421" s="1" t="s">
        <v>759</v>
      </c>
      <c r="E421" s="1" t="s">
        <v>892</v>
      </c>
      <c r="F421" s="1" t="str">
        <f>HYPERLINK("https://talan.bank.gov.ua/get-user-certificate/J5325Gg8l4sKarGBVlGG","Завантажити сертифікат")</f>
        <v>Завантажити сертифікат</v>
      </c>
    </row>
    <row r="422" spans="1:6" ht="28.8" x14ac:dyDescent="0.3">
      <c r="A422" s="2">
        <v>421</v>
      </c>
      <c r="B422" s="1" t="s">
        <v>893</v>
      </c>
      <c r="C422" s="1" t="s">
        <v>758</v>
      </c>
      <c r="D422" s="1" t="s">
        <v>759</v>
      </c>
      <c r="E422" s="1" t="s">
        <v>894</v>
      </c>
      <c r="F422" s="1" t="str">
        <f>HYPERLINK("https://talan.bank.gov.ua/get-user-certificate/J5325o0m_i-en6cudHAK","Завантажити сертифікат")</f>
        <v>Завантажити сертифікат</v>
      </c>
    </row>
    <row r="423" spans="1:6" ht="28.8" x14ac:dyDescent="0.3">
      <c r="A423" s="2">
        <v>422</v>
      </c>
      <c r="B423" s="1" t="s">
        <v>895</v>
      </c>
      <c r="C423" s="1" t="s">
        <v>758</v>
      </c>
      <c r="D423" s="1" t="s">
        <v>759</v>
      </c>
      <c r="E423" s="1" t="s">
        <v>896</v>
      </c>
      <c r="F423" s="1" t="str">
        <f>HYPERLINK("https://talan.bank.gov.ua/get-user-certificate/J5325OFFD0JgUTx-hVad","Завантажити сертифікат")</f>
        <v>Завантажити сертифікат</v>
      </c>
    </row>
    <row r="424" spans="1:6" ht="28.8" x14ac:dyDescent="0.3">
      <c r="A424" s="2">
        <v>423</v>
      </c>
      <c r="B424" s="1" t="s">
        <v>897</v>
      </c>
      <c r="C424" s="1" t="s">
        <v>758</v>
      </c>
      <c r="D424" s="1" t="s">
        <v>759</v>
      </c>
      <c r="E424" s="1" t="s">
        <v>898</v>
      </c>
      <c r="F424" s="1" t="str">
        <f>HYPERLINK("https://talan.bank.gov.ua/get-user-certificate/J5325XN3KTsLlNTvuBKG","Завантажити сертифікат")</f>
        <v>Завантажити сертифікат</v>
      </c>
    </row>
    <row r="425" spans="1:6" ht="28.8" x14ac:dyDescent="0.3">
      <c r="A425" s="2">
        <v>424</v>
      </c>
      <c r="B425" s="1" t="s">
        <v>899</v>
      </c>
      <c r="C425" s="1" t="s">
        <v>758</v>
      </c>
      <c r="D425" s="1" t="s">
        <v>759</v>
      </c>
      <c r="E425" s="1" t="s">
        <v>900</v>
      </c>
      <c r="F425" s="1" t="str">
        <f>HYPERLINK("https://talan.bank.gov.ua/get-user-certificate/J5325CZV97g8ioJEAX2L","Завантажити сертифікат")</f>
        <v>Завантажити сертифікат</v>
      </c>
    </row>
    <row r="426" spans="1:6" ht="28.8" x14ac:dyDescent="0.3">
      <c r="A426" s="2">
        <v>425</v>
      </c>
      <c r="B426" s="1" t="s">
        <v>901</v>
      </c>
      <c r="C426" s="1" t="s">
        <v>758</v>
      </c>
      <c r="D426" s="1" t="s">
        <v>759</v>
      </c>
      <c r="E426" s="1" t="s">
        <v>902</v>
      </c>
      <c r="F426" s="1" t="str">
        <f>HYPERLINK("https://talan.bank.gov.ua/get-user-certificate/J5325UO6-FAcJyI96etk","Завантажити сертифікат")</f>
        <v>Завантажити сертифікат</v>
      </c>
    </row>
    <row r="427" spans="1:6" ht="28.8" x14ac:dyDescent="0.3">
      <c r="A427" s="2">
        <v>426</v>
      </c>
      <c r="B427" s="1" t="s">
        <v>903</v>
      </c>
      <c r="C427" s="1" t="s">
        <v>758</v>
      </c>
      <c r="D427" s="1" t="s">
        <v>759</v>
      </c>
      <c r="E427" s="1" t="s">
        <v>904</v>
      </c>
      <c r="F427" s="1" t="str">
        <f>HYPERLINK("https://talan.bank.gov.ua/get-user-certificate/J5325kWl7-FfgsxCDizV","Завантажити сертифікат")</f>
        <v>Завантажити сертифікат</v>
      </c>
    </row>
    <row r="428" spans="1:6" ht="28.8" x14ac:dyDescent="0.3">
      <c r="A428" s="2">
        <v>427</v>
      </c>
      <c r="B428" s="1" t="s">
        <v>905</v>
      </c>
      <c r="C428" s="1" t="s">
        <v>758</v>
      </c>
      <c r="D428" s="1" t="s">
        <v>759</v>
      </c>
      <c r="E428" s="1" t="s">
        <v>906</v>
      </c>
      <c r="F428" s="1" t="str">
        <f>HYPERLINK("https://talan.bank.gov.ua/get-user-certificate/J5325bRNQUWW4dN6VyzT","Завантажити сертифікат")</f>
        <v>Завантажити сертифікат</v>
      </c>
    </row>
    <row r="429" spans="1:6" ht="28.8" x14ac:dyDescent="0.3">
      <c r="A429" s="2">
        <v>428</v>
      </c>
      <c r="B429" s="1" t="s">
        <v>907</v>
      </c>
      <c r="C429" s="1" t="s">
        <v>758</v>
      </c>
      <c r="D429" s="1" t="s">
        <v>759</v>
      </c>
      <c r="E429" s="1" t="s">
        <v>908</v>
      </c>
      <c r="F429" s="1" t="str">
        <f>HYPERLINK("https://talan.bank.gov.ua/get-user-certificate/J5325BcWlXuPuwfBqOr8","Завантажити сертифікат")</f>
        <v>Завантажити сертифікат</v>
      </c>
    </row>
    <row r="430" spans="1:6" ht="28.8" x14ac:dyDescent="0.3">
      <c r="A430" s="2">
        <v>429</v>
      </c>
      <c r="B430" s="1" t="s">
        <v>909</v>
      </c>
      <c r="C430" s="1" t="s">
        <v>758</v>
      </c>
      <c r="D430" s="1" t="s">
        <v>759</v>
      </c>
      <c r="E430" s="1" t="s">
        <v>910</v>
      </c>
      <c r="F430" s="1" t="str">
        <f>HYPERLINK("https://talan.bank.gov.ua/get-user-certificate/J5325UFQKgIk12br-sYB","Завантажити сертифікат")</f>
        <v>Завантажити сертифікат</v>
      </c>
    </row>
    <row r="431" spans="1:6" ht="28.8" x14ac:dyDescent="0.3">
      <c r="A431" s="2">
        <v>430</v>
      </c>
      <c r="B431" s="1" t="s">
        <v>911</v>
      </c>
      <c r="C431" s="1" t="s">
        <v>758</v>
      </c>
      <c r="D431" s="1" t="s">
        <v>759</v>
      </c>
      <c r="E431" s="1" t="s">
        <v>912</v>
      </c>
      <c r="F431" s="1" t="str">
        <f>HYPERLINK("https://talan.bank.gov.ua/get-user-certificate/J5325y1BBVTWbubFgjwd","Завантажити сертифікат")</f>
        <v>Завантажити сертифікат</v>
      </c>
    </row>
    <row r="432" spans="1:6" ht="28.8" x14ac:dyDescent="0.3">
      <c r="A432" s="2">
        <v>431</v>
      </c>
      <c r="B432" s="1" t="s">
        <v>913</v>
      </c>
      <c r="C432" s="1" t="s">
        <v>758</v>
      </c>
      <c r="D432" s="1" t="s">
        <v>759</v>
      </c>
      <c r="E432" s="1" t="s">
        <v>914</v>
      </c>
      <c r="F432" s="1" t="str">
        <f>HYPERLINK("https://talan.bank.gov.ua/get-user-certificate/J5325kFdSK6133MBdB3v","Завантажити сертифікат")</f>
        <v>Завантажити сертифікат</v>
      </c>
    </row>
    <row r="433" spans="1:6" ht="28.8" x14ac:dyDescent="0.3">
      <c r="A433" s="2">
        <v>432</v>
      </c>
      <c r="B433" s="1" t="s">
        <v>915</v>
      </c>
      <c r="C433" s="1" t="s">
        <v>758</v>
      </c>
      <c r="D433" s="1" t="s">
        <v>759</v>
      </c>
      <c r="E433" s="1" t="s">
        <v>916</v>
      </c>
      <c r="F433" s="1" t="str">
        <f>HYPERLINK("https://talan.bank.gov.ua/get-user-certificate/J5325ivTR3ffKtXXWYzR","Завантажити сертифікат")</f>
        <v>Завантажити сертифікат</v>
      </c>
    </row>
    <row r="434" spans="1:6" ht="28.8" x14ac:dyDescent="0.3">
      <c r="A434" s="2">
        <v>433</v>
      </c>
      <c r="B434" s="1" t="s">
        <v>917</v>
      </c>
      <c r="C434" s="1" t="s">
        <v>758</v>
      </c>
      <c r="D434" s="1" t="s">
        <v>759</v>
      </c>
      <c r="E434" s="1" t="s">
        <v>918</v>
      </c>
      <c r="F434" s="1" t="str">
        <f>HYPERLINK("https://talan.bank.gov.ua/get-user-certificate/J5325VrApEWzVOOi27FM","Завантажити сертифікат")</f>
        <v>Завантажити сертифікат</v>
      </c>
    </row>
    <row r="435" spans="1:6" ht="28.8" x14ac:dyDescent="0.3">
      <c r="A435" s="2">
        <v>434</v>
      </c>
      <c r="B435" s="1" t="s">
        <v>919</v>
      </c>
      <c r="C435" s="1" t="s">
        <v>758</v>
      </c>
      <c r="D435" s="1" t="s">
        <v>759</v>
      </c>
      <c r="E435" s="1" t="s">
        <v>920</v>
      </c>
      <c r="F435" s="1" t="str">
        <f>HYPERLINK("https://talan.bank.gov.ua/get-user-certificate/J53251l4R5IaNT6qN04S","Завантажити сертифікат")</f>
        <v>Завантажити сертифікат</v>
      </c>
    </row>
    <row r="436" spans="1:6" ht="28.8" x14ac:dyDescent="0.3">
      <c r="A436" s="2">
        <v>435</v>
      </c>
      <c r="B436" s="1" t="s">
        <v>921</v>
      </c>
      <c r="C436" s="1" t="s">
        <v>758</v>
      </c>
      <c r="D436" s="1" t="s">
        <v>759</v>
      </c>
      <c r="E436" s="1" t="s">
        <v>922</v>
      </c>
      <c r="F436" s="1" t="str">
        <f>HYPERLINK("https://talan.bank.gov.ua/get-user-certificate/J5325cUoAI1FErFeB9Z3","Завантажити сертифікат")</f>
        <v>Завантажити сертифікат</v>
      </c>
    </row>
    <row r="437" spans="1:6" ht="28.8" x14ac:dyDescent="0.3">
      <c r="A437" s="2">
        <v>436</v>
      </c>
      <c r="B437" s="1" t="s">
        <v>923</v>
      </c>
      <c r="C437" s="1" t="s">
        <v>758</v>
      </c>
      <c r="D437" s="1" t="s">
        <v>759</v>
      </c>
      <c r="E437" s="1" t="s">
        <v>924</v>
      </c>
      <c r="F437" s="1" t="str">
        <f>HYPERLINK("https://talan.bank.gov.ua/get-user-certificate/J5325kHSOjM_IHctBxvo","Завантажити сертифікат")</f>
        <v>Завантажити сертифікат</v>
      </c>
    </row>
    <row r="438" spans="1:6" ht="28.8" x14ac:dyDescent="0.3">
      <c r="A438" s="2">
        <v>437</v>
      </c>
      <c r="B438" s="1" t="s">
        <v>925</v>
      </c>
      <c r="C438" s="1" t="s">
        <v>758</v>
      </c>
      <c r="D438" s="1" t="s">
        <v>759</v>
      </c>
      <c r="E438" s="1" t="s">
        <v>926</v>
      </c>
      <c r="F438" s="1" t="str">
        <f>HYPERLINK("https://talan.bank.gov.ua/get-user-certificate/J5325CHUiWC1OepET4ds","Завантажити сертифікат")</f>
        <v>Завантажити сертифікат</v>
      </c>
    </row>
    <row r="439" spans="1:6" ht="28.8" x14ac:dyDescent="0.3">
      <c r="A439" s="2">
        <v>438</v>
      </c>
      <c r="B439" s="1" t="s">
        <v>927</v>
      </c>
      <c r="C439" s="1" t="s">
        <v>758</v>
      </c>
      <c r="D439" s="1" t="s">
        <v>759</v>
      </c>
      <c r="E439" s="1" t="s">
        <v>928</v>
      </c>
      <c r="F439" s="1" t="str">
        <f>HYPERLINK("https://talan.bank.gov.ua/get-user-certificate/J5325N5PJ96_d5xKKvbp","Завантажити сертифікат")</f>
        <v>Завантажити сертифікат</v>
      </c>
    </row>
    <row r="440" spans="1:6" ht="28.8" x14ac:dyDescent="0.3">
      <c r="A440" s="2">
        <v>439</v>
      </c>
      <c r="B440" s="1" t="s">
        <v>929</v>
      </c>
      <c r="C440" s="1" t="s">
        <v>758</v>
      </c>
      <c r="D440" s="1" t="s">
        <v>759</v>
      </c>
      <c r="E440" s="1" t="s">
        <v>930</v>
      </c>
      <c r="F440" s="1" t="str">
        <f>HYPERLINK("https://talan.bank.gov.ua/get-user-certificate/J5325y8HeCZR2B5l_3g3","Завантажити сертифікат")</f>
        <v>Завантажити сертифікат</v>
      </c>
    </row>
    <row r="441" spans="1:6" ht="28.8" x14ac:dyDescent="0.3">
      <c r="A441" s="2">
        <v>440</v>
      </c>
      <c r="B441" s="1" t="s">
        <v>931</v>
      </c>
      <c r="C441" s="1" t="s">
        <v>758</v>
      </c>
      <c r="D441" s="1" t="s">
        <v>759</v>
      </c>
      <c r="E441" s="1" t="s">
        <v>932</v>
      </c>
      <c r="F441" s="1" t="str">
        <f>HYPERLINK("https://talan.bank.gov.ua/get-user-certificate/J5325Kw6meWF1PXzrSPT","Завантажити сертифікат")</f>
        <v>Завантажити сертифікат</v>
      </c>
    </row>
    <row r="442" spans="1:6" ht="28.8" x14ac:dyDescent="0.3">
      <c r="A442" s="2">
        <v>441</v>
      </c>
      <c r="B442" s="1" t="s">
        <v>933</v>
      </c>
      <c r="C442" s="1" t="s">
        <v>758</v>
      </c>
      <c r="D442" s="1" t="s">
        <v>759</v>
      </c>
      <c r="E442" s="1" t="s">
        <v>934</v>
      </c>
      <c r="F442" s="1" t="str">
        <f>HYPERLINK("https://talan.bank.gov.ua/get-user-certificate/J5325RtDDvFvUODXcy5h","Завантажити сертифікат")</f>
        <v>Завантажити сертифікат</v>
      </c>
    </row>
    <row r="443" spans="1:6" ht="28.8" x14ac:dyDescent="0.3">
      <c r="A443" s="2">
        <v>442</v>
      </c>
      <c r="B443" s="1" t="s">
        <v>935</v>
      </c>
      <c r="C443" s="1" t="s">
        <v>758</v>
      </c>
      <c r="D443" s="1" t="s">
        <v>759</v>
      </c>
      <c r="E443" s="1" t="s">
        <v>936</v>
      </c>
      <c r="F443" s="1" t="str">
        <f>HYPERLINK("https://talan.bank.gov.ua/get-user-certificate/J5325xTjBMmF3U6ASmgO","Завантажити сертифікат")</f>
        <v>Завантажити сертифікат</v>
      </c>
    </row>
    <row r="444" spans="1:6" ht="28.8" x14ac:dyDescent="0.3">
      <c r="A444" s="2">
        <v>443</v>
      </c>
      <c r="B444" s="1" t="s">
        <v>937</v>
      </c>
      <c r="C444" s="1" t="s">
        <v>758</v>
      </c>
      <c r="D444" s="1" t="s">
        <v>759</v>
      </c>
      <c r="E444" s="1" t="s">
        <v>938</v>
      </c>
      <c r="F444" s="1" t="str">
        <f>HYPERLINK("https://talan.bank.gov.ua/get-user-certificate/J5325XQ-L4o-g5L0KbKJ","Завантажити сертифікат")</f>
        <v>Завантажити сертифікат</v>
      </c>
    </row>
    <row r="445" spans="1:6" ht="28.8" x14ac:dyDescent="0.3">
      <c r="A445" s="2">
        <v>444</v>
      </c>
      <c r="B445" s="1" t="s">
        <v>939</v>
      </c>
      <c r="C445" s="1" t="s">
        <v>758</v>
      </c>
      <c r="D445" s="1" t="s">
        <v>759</v>
      </c>
      <c r="E445" s="1" t="s">
        <v>940</v>
      </c>
      <c r="F445" s="1" t="str">
        <f>HYPERLINK("https://talan.bank.gov.ua/get-user-certificate/J5325ciIc0iuZfDyvobb","Завантажити сертифікат")</f>
        <v>Завантажити сертифікат</v>
      </c>
    </row>
    <row r="446" spans="1:6" ht="28.8" x14ac:dyDescent="0.3">
      <c r="A446" s="2">
        <v>445</v>
      </c>
      <c r="B446" s="1" t="s">
        <v>941</v>
      </c>
      <c r="C446" s="1" t="s">
        <v>758</v>
      </c>
      <c r="D446" s="1" t="s">
        <v>759</v>
      </c>
      <c r="E446" s="1" t="s">
        <v>942</v>
      </c>
      <c r="F446" s="1" t="str">
        <f>HYPERLINK("https://talan.bank.gov.ua/get-user-certificate/J5325T-k-2WRKOhPbfT8","Завантажити сертифікат")</f>
        <v>Завантажити сертифікат</v>
      </c>
    </row>
    <row r="447" spans="1:6" ht="28.8" x14ac:dyDescent="0.3">
      <c r="A447" s="2">
        <v>446</v>
      </c>
      <c r="B447" s="1" t="s">
        <v>943</v>
      </c>
      <c r="C447" s="1" t="s">
        <v>758</v>
      </c>
      <c r="D447" s="1" t="s">
        <v>759</v>
      </c>
      <c r="E447" s="1" t="s">
        <v>944</v>
      </c>
      <c r="F447" s="1" t="str">
        <f>HYPERLINK("https://talan.bank.gov.ua/get-user-certificate/J53253AX3dHYSgs59vuX","Завантажити сертифікат")</f>
        <v>Завантажити сертифікат</v>
      </c>
    </row>
    <row r="448" spans="1:6" ht="28.8" x14ac:dyDescent="0.3">
      <c r="A448" s="2">
        <v>447</v>
      </c>
      <c r="B448" s="1" t="s">
        <v>945</v>
      </c>
      <c r="C448" s="1" t="s">
        <v>758</v>
      </c>
      <c r="D448" s="1" t="s">
        <v>759</v>
      </c>
      <c r="E448" s="1" t="s">
        <v>946</v>
      </c>
      <c r="F448" s="1" t="str">
        <f>HYPERLINK("https://talan.bank.gov.ua/get-user-certificate/J5325uly4mqqj_iTx0ES","Завантажити сертифікат")</f>
        <v>Завантажити сертифікат</v>
      </c>
    </row>
    <row r="449" spans="1:6" ht="28.8" x14ac:dyDescent="0.3">
      <c r="A449" s="2">
        <v>448</v>
      </c>
      <c r="B449" s="1" t="s">
        <v>947</v>
      </c>
      <c r="C449" s="1" t="s">
        <v>758</v>
      </c>
      <c r="D449" s="1" t="s">
        <v>759</v>
      </c>
      <c r="E449" s="1" t="s">
        <v>948</v>
      </c>
      <c r="F449" s="1" t="str">
        <f>HYPERLINK("https://talan.bank.gov.ua/get-user-certificate/J5325DbpTHwBp9IqF-WY","Завантажити сертифікат")</f>
        <v>Завантажити сертифікат</v>
      </c>
    </row>
    <row r="450" spans="1:6" ht="28.8" x14ac:dyDescent="0.3">
      <c r="A450" s="2">
        <v>449</v>
      </c>
      <c r="B450" s="1" t="s">
        <v>949</v>
      </c>
      <c r="C450" s="1" t="s">
        <v>758</v>
      </c>
      <c r="D450" s="1" t="s">
        <v>759</v>
      </c>
      <c r="E450" s="1" t="s">
        <v>950</v>
      </c>
      <c r="F450" s="1" t="str">
        <f>HYPERLINK("https://talan.bank.gov.ua/get-user-certificate/J5325W4dUmsug839vr-g","Завантажити сертифікат")</f>
        <v>Завантажити сертифікат</v>
      </c>
    </row>
    <row r="451" spans="1:6" ht="28.8" x14ac:dyDescent="0.3">
      <c r="A451" s="2">
        <v>450</v>
      </c>
      <c r="B451" s="1" t="s">
        <v>951</v>
      </c>
      <c r="C451" s="1" t="s">
        <v>758</v>
      </c>
      <c r="D451" s="1" t="s">
        <v>759</v>
      </c>
      <c r="E451" s="1" t="s">
        <v>952</v>
      </c>
      <c r="F451" s="1" t="str">
        <f>HYPERLINK("https://talan.bank.gov.ua/get-user-certificate/J5325pPbF_GOm2PZRMtU","Завантажити сертифікат")</f>
        <v>Завантажити сертифікат</v>
      </c>
    </row>
    <row r="452" spans="1:6" ht="28.8" x14ac:dyDescent="0.3">
      <c r="A452" s="2">
        <v>451</v>
      </c>
      <c r="B452" s="1" t="s">
        <v>953</v>
      </c>
      <c r="C452" s="1" t="s">
        <v>758</v>
      </c>
      <c r="D452" s="1" t="s">
        <v>759</v>
      </c>
      <c r="E452" s="1" t="s">
        <v>954</v>
      </c>
      <c r="F452" s="1" t="str">
        <f>HYPERLINK("https://talan.bank.gov.ua/get-user-certificate/J5325BUma1tQ8WMuq2qC","Завантажити сертифікат")</f>
        <v>Завантажити сертифікат</v>
      </c>
    </row>
    <row r="453" spans="1:6" ht="28.8" x14ac:dyDescent="0.3">
      <c r="A453" s="2">
        <v>452</v>
      </c>
      <c r="B453" s="1" t="s">
        <v>955</v>
      </c>
      <c r="C453" s="1" t="s">
        <v>758</v>
      </c>
      <c r="D453" s="1" t="s">
        <v>759</v>
      </c>
      <c r="E453" s="1" t="s">
        <v>956</v>
      </c>
      <c r="F453" s="1" t="str">
        <f>HYPERLINK("https://talan.bank.gov.ua/get-user-certificate/J5325as4R9v2Wig-j0Il","Завантажити сертифікат")</f>
        <v>Завантажити сертифікат</v>
      </c>
    </row>
    <row r="454" spans="1:6" ht="28.8" x14ac:dyDescent="0.3">
      <c r="A454" s="2">
        <v>453</v>
      </c>
      <c r="B454" s="1" t="s">
        <v>957</v>
      </c>
      <c r="C454" s="1" t="s">
        <v>758</v>
      </c>
      <c r="D454" s="1" t="s">
        <v>759</v>
      </c>
      <c r="E454" s="1" t="s">
        <v>958</v>
      </c>
      <c r="F454" s="1" t="str">
        <f>HYPERLINK("https://talan.bank.gov.ua/get-user-certificate/J5325fGKbYCSrTDo9LDz","Завантажити сертифікат")</f>
        <v>Завантажити сертифікат</v>
      </c>
    </row>
    <row r="455" spans="1:6" ht="28.8" x14ac:dyDescent="0.3">
      <c r="A455" s="2">
        <v>454</v>
      </c>
      <c r="B455" s="1" t="s">
        <v>959</v>
      </c>
      <c r="C455" s="1" t="s">
        <v>758</v>
      </c>
      <c r="D455" s="1" t="s">
        <v>759</v>
      </c>
      <c r="E455" s="1" t="s">
        <v>960</v>
      </c>
      <c r="F455" s="1" t="str">
        <f>HYPERLINK("https://talan.bank.gov.ua/get-user-certificate/J5325g193BNFuKtAhPYP","Завантажити сертифікат")</f>
        <v>Завантажити сертифікат</v>
      </c>
    </row>
    <row r="456" spans="1:6" ht="28.8" x14ac:dyDescent="0.3">
      <c r="A456" s="2">
        <v>455</v>
      </c>
      <c r="B456" s="1" t="s">
        <v>961</v>
      </c>
      <c r="C456" s="1" t="s">
        <v>758</v>
      </c>
      <c r="D456" s="1" t="s">
        <v>759</v>
      </c>
      <c r="E456" s="1" t="s">
        <v>962</v>
      </c>
      <c r="F456" s="1" t="str">
        <f>HYPERLINK("https://talan.bank.gov.ua/get-user-certificate/J5325qx1qU9dpf6dIbO4","Завантажити сертифікат")</f>
        <v>Завантажити сертифікат</v>
      </c>
    </row>
    <row r="457" spans="1:6" ht="28.8" x14ac:dyDescent="0.3">
      <c r="A457" s="2">
        <v>456</v>
      </c>
      <c r="B457" s="1" t="s">
        <v>963</v>
      </c>
      <c r="C457" s="1" t="s">
        <v>758</v>
      </c>
      <c r="D457" s="1" t="s">
        <v>759</v>
      </c>
      <c r="E457" s="1" t="s">
        <v>964</v>
      </c>
      <c r="F457" s="1" t="str">
        <f>HYPERLINK("https://talan.bank.gov.ua/get-user-certificate/J5325YA2yuhuyR0VWxAs","Завантажити сертифікат")</f>
        <v>Завантажити сертифікат</v>
      </c>
    </row>
    <row r="458" spans="1:6" ht="28.8" x14ac:dyDescent="0.3">
      <c r="A458" s="2">
        <v>457</v>
      </c>
      <c r="B458" s="1" t="s">
        <v>965</v>
      </c>
      <c r="C458" s="1" t="s">
        <v>758</v>
      </c>
      <c r="D458" s="1" t="s">
        <v>759</v>
      </c>
      <c r="E458" s="1" t="s">
        <v>966</v>
      </c>
      <c r="F458" s="1" t="str">
        <f>HYPERLINK("https://talan.bank.gov.ua/get-user-certificate/J5325tRTfAw_HqSvMpPb","Завантажити сертифікат")</f>
        <v>Завантажити сертифікат</v>
      </c>
    </row>
    <row r="459" spans="1:6" ht="28.8" x14ac:dyDescent="0.3">
      <c r="A459" s="2">
        <v>458</v>
      </c>
      <c r="B459" s="1" t="s">
        <v>967</v>
      </c>
      <c r="C459" s="1" t="s">
        <v>758</v>
      </c>
      <c r="D459" s="1" t="s">
        <v>759</v>
      </c>
      <c r="E459" s="1" t="s">
        <v>968</v>
      </c>
      <c r="F459" s="1" t="str">
        <f>HYPERLINK("https://talan.bank.gov.ua/get-user-certificate/J5325kMG0Q48XdcgBSBp","Завантажити сертифікат")</f>
        <v>Завантажити сертифікат</v>
      </c>
    </row>
    <row r="460" spans="1:6" ht="28.8" x14ac:dyDescent="0.3">
      <c r="A460" s="2">
        <v>459</v>
      </c>
      <c r="B460" s="1" t="s">
        <v>969</v>
      </c>
      <c r="C460" s="1" t="s">
        <v>758</v>
      </c>
      <c r="D460" s="1" t="s">
        <v>759</v>
      </c>
      <c r="E460" s="1" t="s">
        <v>970</v>
      </c>
      <c r="F460" s="1" t="str">
        <f>HYPERLINK("https://talan.bank.gov.ua/get-user-certificate/J5325YYFXoLpclV9rJkS","Завантажити сертифікат")</f>
        <v>Завантажити сертифікат</v>
      </c>
    </row>
    <row r="461" spans="1:6" ht="28.8" x14ac:dyDescent="0.3">
      <c r="A461" s="2">
        <v>460</v>
      </c>
      <c r="B461" s="1" t="s">
        <v>971</v>
      </c>
      <c r="C461" s="1" t="s">
        <v>758</v>
      </c>
      <c r="D461" s="1" t="s">
        <v>759</v>
      </c>
      <c r="E461" s="1" t="s">
        <v>972</v>
      </c>
      <c r="F461" s="1" t="str">
        <f>HYPERLINK("https://talan.bank.gov.ua/get-user-certificate/J53254hJdAprc9ZVRmv9","Завантажити сертифікат")</f>
        <v>Завантажити сертифікат</v>
      </c>
    </row>
    <row r="462" spans="1:6" ht="28.8" x14ac:dyDescent="0.3">
      <c r="A462" s="2">
        <v>461</v>
      </c>
      <c r="B462" s="1" t="s">
        <v>973</v>
      </c>
      <c r="C462" s="1" t="s">
        <v>758</v>
      </c>
      <c r="D462" s="1" t="s">
        <v>759</v>
      </c>
      <c r="E462" s="1" t="s">
        <v>974</v>
      </c>
      <c r="F462" s="1" t="str">
        <f>HYPERLINK("https://talan.bank.gov.ua/get-user-certificate/J5325xTquZPJPJQxBbRY","Завантажити сертифікат")</f>
        <v>Завантажити сертифікат</v>
      </c>
    </row>
    <row r="463" spans="1:6" ht="28.8" x14ac:dyDescent="0.3">
      <c r="A463" s="2">
        <v>462</v>
      </c>
      <c r="B463" s="1" t="s">
        <v>975</v>
      </c>
      <c r="C463" s="1" t="s">
        <v>758</v>
      </c>
      <c r="D463" s="1" t="s">
        <v>759</v>
      </c>
      <c r="E463" s="1" t="s">
        <v>976</v>
      </c>
      <c r="F463" s="1" t="str">
        <f>HYPERLINK("https://talan.bank.gov.ua/get-user-certificate/J5325umqBQJYI_Bw2GCC","Завантажити сертифікат")</f>
        <v>Завантажити сертифікат</v>
      </c>
    </row>
    <row r="464" spans="1:6" ht="28.8" x14ac:dyDescent="0.3">
      <c r="A464" s="2">
        <v>463</v>
      </c>
      <c r="B464" s="1" t="s">
        <v>977</v>
      </c>
      <c r="C464" s="1" t="s">
        <v>758</v>
      </c>
      <c r="D464" s="1" t="s">
        <v>759</v>
      </c>
      <c r="E464" s="1" t="s">
        <v>978</v>
      </c>
      <c r="F464" s="1" t="str">
        <f>HYPERLINK("https://talan.bank.gov.ua/get-user-certificate/J5325SjM4vzzuPndSwf5","Завантажити сертифікат")</f>
        <v>Завантажити сертифікат</v>
      </c>
    </row>
    <row r="465" spans="1:6" ht="28.8" x14ac:dyDescent="0.3">
      <c r="A465" s="2">
        <v>464</v>
      </c>
      <c r="B465" s="1" t="s">
        <v>979</v>
      </c>
      <c r="C465" s="1" t="s">
        <v>758</v>
      </c>
      <c r="D465" s="1" t="s">
        <v>759</v>
      </c>
      <c r="E465" s="1" t="s">
        <v>980</v>
      </c>
      <c r="F465" s="1" t="str">
        <f>HYPERLINK("https://talan.bank.gov.ua/get-user-certificate/J5325lFc316Q6BWBZwij","Завантажити сертифікат")</f>
        <v>Завантажити сертифікат</v>
      </c>
    </row>
    <row r="466" spans="1:6" ht="28.8" x14ac:dyDescent="0.3">
      <c r="A466" s="2">
        <v>465</v>
      </c>
      <c r="B466" s="1" t="s">
        <v>981</v>
      </c>
      <c r="C466" s="1" t="s">
        <v>758</v>
      </c>
      <c r="D466" s="1" t="s">
        <v>759</v>
      </c>
      <c r="E466" s="1" t="s">
        <v>982</v>
      </c>
      <c r="F466" s="1" t="str">
        <f>HYPERLINK("https://talan.bank.gov.ua/get-user-certificate/J5325Z_J3VqBm2T4kSdW","Завантажити сертифікат")</f>
        <v>Завантажити сертифікат</v>
      </c>
    </row>
    <row r="467" spans="1:6" ht="28.8" x14ac:dyDescent="0.3">
      <c r="A467" s="2">
        <v>466</v>
      </c>
      <c r="B467" s="1" t="s">
        <v>983</v>
      </c>
      <c r="C467" s="1" t="s">
        <v>758</v>
      </c>
      <c r="D467" s="1" t="s">
        <v>759</v>
      </c>
      <c r="E467" s="1" t="s">
        <v>984</v>
      </c>
      <c r="F467" s="1" t="str">
        <f>HYPERLINK("https://talan.bank.gov.ua/get-user-certificate/J5325W9TIL0s5UqFbqWJ","Завантажити сертифікат")</f>
        <v>Завантажити сертифікат</v>
      </c>
    </row>
    <row r="468" spans="1:6" ht="28.8" x14ac:dyDescent="0.3">
      <c r="A468" s="2">
        <v>467</v>
      </c>
      <c r="B468" s="1" t="s">
        <v>985</v>
      </c>
      <c r="C468" s="1" t="s">
        <v>758</v>
      </c>
      <c r="D468" s="1" t="s">
        <v>759</v>
      </c>
      <c r="E468" s="1" t="s">
        <v>986</v>
      </c>
      <c r="F468" s="1" t="str">
        <f>HYPERLINK("https://talan.bank.gov.ua/get-user-certificate/J53251XPsO8CkNmN9Vuz","Завантажити сертифікат")</f>
        <v>Завантажити сертифікат</v>
      </c>
    </row>
    <row r="469" spans="1:6" ht="28.8" x14ac:dyDescent="0.3">
      <c r="A469" s="2">
        <v>468</v>
      </c>
      <c r="B469" s="1" t="s">
        <v>987</v>
      </c>
      <c r="C469" s="1" t="s">
        <v>758</v>
      </c>
      <c r="D469" s="1" t="s">
        <v>759</v>
      </c>
      <c r="E469" s="1" t="s">
        <v>988</v>
      </c>
      <c r="F469" s="1" t="str">
        <f>HYPERLINK("https://talan.bank.gov.ua/get-user-certificate/J5325Rb8WylTjr2gpA18","Завантажити сертифікат")</f>
        <v>Завантажити сертифікат</v>
      </c>
    </row>
    <row r="470" spans="1:6" ht="28.8" x14ac:dyDescent="0.3">
      <c r="A470" s="2">
        <v>469</v>
      </c>
      <c r="B470" s="1" t="s">
        <v>989</v>
      </c>
      <c r="C470" s="1" t="s">
        <v>758</v>
      </c>
      <c r="D470" s="1" t="s">
        <v>759</v>
      </c>
      <c r="E470" s="1" t="s">
        <v>990</v>
      </c>
      <c r="F470" s="1" t="str">
        <f>HYPERLINK("https://talan.bank.gov.ua/get-user-certificate/J5325zlifZ-oRfSU8JrR","Завантажити сертифікат")</f>
        <v>Завантажити сертифікат</v>
      </c>
    </row>
    <row r="471" spans="1:6" ht="28.8" x14ac:dyDescent="0.3">
      <c r="A471" s="2">
        <v>470</v>
      </c>
      <c r="B471" s="1" t="s">
        <v>991</v>
      </c>
      <c r="C471" s="1" t="s">
        <v>758</v>
      </c>
      <c r="D471" s="1" t="s">
        <v>759</v>
      </c>
      <c r="E471" s="1" t="s">
        <v>992</v>
      </c>
      <c r="F471" s="1" t="str">
        <f>HYPERLINK("https://talan.bank.gov.ua/get-user-certificate/J5325Rtn5lxiIQkZWl92","Завантажити сертифікат")</f>
        <v>Завантажити сертифікат</v>
      </c>
    </row>
    <row r="472" spans="1:6" ht="28.8" x14ac:dyDescent="0.3">
      <c r="A472" s="2">
        <v>471</v>
      </c>
      <c r="B472" s="1" t="s">
        <v>993</v>
      </c>
      <c r="C472" s="1" t="s">
        <v>758</v>
      </c>
      <c r="D472" s="1" t="s">
        <v>759</v>
      </c>
      <c r="E472" s="1" t="s">
        <v>994</v>
      </c>
      <c r="F472" s="1" t="str">
        <f>HYPERLINK("https://talan.bank.gov.ua/get-user-certificate/J5325IKydL9hcHgKjBZY","Завантажити сертифікат")</f>
        <v>Завантажити сертифікат</v>
      </c>
    </row>
    <row r="473" spans="1:6" ht="28.8" x14ac:dyDescent="0.3">
      <c r="A473" s="2">
        <v>472</v>
      </c>
      <c r="B473" s="1" t="s">
        <v>995</v>
      </c>
      <c r="C473" s="1" t="s">
        <v>758</v>
      </c>
      <c r="D473" s="1" t="s">
        <v>759</v>
      </c>
      <c r="E473" s="1" t="s">
        <v>996</v>
      </c>
      <c r="F473" s="1" t="str">
        <f>HYPERLINK("https://talan.bank.gov.ua/get-user-certificate/J5325-yTtrDjkKd_-PZ6","Завантажити сертифікат")</f>
        <v>Завантажити сертифікат</v>
      </c>
    </row>
    <row r="474" spans="1:6" ht="28.8" x14ac:dyDescent="0.3">
      <c r="A474" s="2">
        <v>473</v>
      </c>
      <c r="B474" s="1" t="s">
        <v>997</v>
      </c>
      <c r="C474" s="1" t="s">
        <v>758</v>
      </c>
      <c r="D474" s="1" t="s">
        <v>759</v>
      </c>
      <c r="E474" s="1" t="s">
        <v>998</v>
      </c>
      <c r="F474" s="1" t="str">
        <f>HYPERLINK("https://talan.bank.gov.ua/get-user-certificate/J5325daWNwl1DrahWU3j","Завантажити сертифікат")</f>
        <v>Завантажити сертифікат</v>
      </c>
    </row>
    <row r="475" spans="1:6" ht="28.8" x14ac:dyDescent="0.3">
      <c r="A475" s="2">
        <v>474</v>
      </c>
      <c r="B475" s="1" t="s">
        <v>999</v>
      </c>
      <c r="C475" s="1" t="s">
        <v>758</v>
      </c>
      <c r="D475" s="1" t="s">
        <v>759</v>
      </c>
      <c r="E475" s="1" t="s">
        <v>1000</v>
      </c>
      <c r="F475" s="1" t="str">
        <f>HYPERLINK("https://talan.bank.gov.ua/get-user-certificate/J5325YFnvjJmfnFZC6ch","Завантажити сертифікат")</f>
        <v>Завантажити сертифікат</v>
      </c>
    </row>
    <row r="476" spans="1:6" ht="28.8" x14ac:dyDescent="0.3">
      <c r="A476" s="2">
        <v>475</v>
      </c>
      <c r="B476" s="1" t="s">
        <v>1001</v>
      </c>
      <c r="C476" s="1" t="s">
        <v>758</v>
      </c>
      <c r="D476" s="1" t="s">
        <v>759</v>
      </c>
      <c r="E476" s="1" t="s">
        <v>1002</v>
      </c>
      <c r="F476" s="1" t="str">
        <f>HYPERLINK("https://talan.bank.gov.ua/get-user-certificate/J5325eLgkGJu6AxNFNRA","Завантажити сертифікат")</f>
        <v>Завантажити сертифікат</v>
      </c>
    </row>
    <row r="477" spans="1:6" ht="28.8" x14ac:dyDescent="0.3">
      <c r="A477" s="2">
        <v>476</v>
      </c>
      <c r="B477" s="1" t="s">
        <v>1003</v>
      </c>
      <c r="C477" s="1" t="s">
        <v>758</v>
      </c>
      <c r="D477" s="1" t="s">
        <v>759</v>
      </c>
      <c r="E477" s="1" t="s">
        <v>1004</v>
      </c>
      <c r="F477" s="1" t="str">
        <f>HYPERLINK("https://talan.bank.gov.ua/get-user-certificate/J5325eZ3uuV7zg4oz66E","Завантажити сертифікат")</f>
        <v>Завантажити сертифікат</v>
      </c>
    </row>
    <row r="478" spans="1:6" ht="28.8" x14ac:dyDescent="0.3">
      <c r="A478" s="2">
        <v>477</v>
      </c>
      <c r="B478" s="1" t="s">
        <v>1005</v>
      </c>
      <c r="C478" s="1" t="s">
        <v>758</v>
      </c>
      <c r="D478" s="1" t="s">
        <v>759</v>
      </c>
      <c r="E478" s="1" t="s">
        <v>1006</v>
      </c>
      <c r="F478" s="1" t="str">
        <f>HYPERLINK("https://talan.bank.gov.ua/get-user-certificate/J5325SbO0cUi5jPH7E53","Завантажити сертифікат")</f>
        <v>Завантажити сертифікат</v>
      </c>
    </row>
    <row r="479" spans="1:6" ht="28.8" x14ac:dyDescent="0.3">
      <c r="A479" s="2">
        <v>478</v>
      </c>
      <c r="B479" s="1" t="s">
        <v>1007</v>
      </c>
      <c r="C479" s="1" t="s">
        <v>758</v>
      </c>
      <c r="D479" s="1" t="s">
        <v>759</v>
      </c>
      <c r="E479" s="1" t="s">
        <v>1008</v>
      </c>
      <c r="F479" s="1" t="str">
        <f>HYPERLINK("https://talan.bank.gov.ua/get-user-certificate/J5325Y_FCLZqUq4gO9Yg","Завантажити сертифікат")</f>
        <v>Завантажити сертифікат</v>
      </c>
    </row>
    <row r="480" spans="1:6" ht="28.8" x14ac:dyDescent="0.3">
      <c r="A480" s="2">
        <v>479</v>
      </c>
      <c r="B480" s="1" t="s">
        <v>1009</v>
      </c>
      <c r="C480" s="1" t="s">
        <v>758</v>
      </c>
      <c r="D480" s="1" t="s">
        <v>759</v>
      </c>
      <c r="E480" s="1" t="s">
        <v>1010</v>
      </c>
      <c r="F480" s="1" t="str">
        <f>HYPERLINK("https://talan.bank.gov.ua/get-user-certificate/J5325XNli1vpsXeRWHfo","Завантажити сертифікат")</f>
        <v>Завантажити сертифікат</v>
      </c>
    </row>
    <row r="481" spans="1:6" ht="28.8" x14ac:dyDescent="0.3">
      <c r="A481" s="2">
        <v>480</v>
      </c>
      <c r="B481" s="1" t="s">
        <v>1011</v>
      </c>
      <c r="C481" s="1" t="s">
        <v>758</v>
      </c>
      <c r="D481" s="1" t="s">
        <v>759</v>
      </c>
      <c r="E481" s="1" t="s">
        <v>1012</v>
      </c>
      <c r="F481" s="1" t="str">
        <f>HYPERLINK("https://talan.bank.gov.ua/get-user-certificate/J5325h5KWdwnJ_8bCXQv","Завантажити сертифікат")</f>
        <v>Завантажити сертифікат</v>
      </c>
    </row>
    <row r="482" spans="1:6" ht="28.8" x14ac:dyDescent="0.3">
      <c r="A482" s="2">
        <v>481</v>
      </c>
      <c r="B482" s="1" t="s">
        <v>1013</v>
      </c>
      <c r="C482" s="1" t="s">
        <v>758</v>
      </c>
      <c r="D482" s="1" t="s">
        <v>759</v>
      </c>
      <c r="E482" s="1" t="s">
        <v>1014</v>
      </c>
      <c r="F482" s="1" t="str">
        <f>HYPERLINK("https://talan.bank.gov.ua/get-user-certificate/J5325UP6cEpVsq6gJvmn","Завантажити сертифікат")</f>
        <v>Завантажити сертифікат</v>
      </c>
    </row>
    <row r="483" spans="1:6" ht="28.8" x14ac:dyDescent="0.3">
      <c r="A483" s="2">
        <v>482</v>
      </c>
      <c r="B483" s="1" t="s">
        <v>1015</v>
      </c>
      <c r="C483" s="1" t="s">
        <v>758</v>
      </c>
      <c r="D483" s="1" t="s">
        <v>759</v>
      </c>
      <c r="E483" s="1" t="s">
        <v>1016</v>
      </c>
      <c r="F483" s="1" t="str">
        <f>HYPERLINK("https://talan.bank.gov.ua/get-user-certificate/J5325K9LyanWDmLCwjf6","Завантажити сертифікат")</f>
        <v>Завантажити сертифікат</v>
      </c>
    </row>
    <row r="484" spans="1:6" ht="28.8" x14ac:dyDescent="0.3">
      <c r="A484" s="2">
        <v>483</v>
      </c>
      <c r="B484" s="1" t="s">
        <v>1017</v>
      </c>
      <c r="C484" s="1" t="s">
        <v>758</v>
      </c>
      <c r="D484" s="1" t="s">
        <v>759</v>
      </c>
      <c r="E484" s="1" t="s">
        <v>1018</v>
      </c>
      <c r="F484" s="1" t="str">
        <f>HYPERLINK("https://talan.bank.gov.ua/get-user-certificate/J5325cii3vNICV_rFRcZ","Завантажити сертифікат")</f>
        <v>Завантажити сертифікат</v>
      </c>
    </row>
    <row r="485" spans="1:6" ht="28.8" x14ac:dyDescent="0.3">
      <c r="A485" s="2">
        <v>484</v>
      </c>
      <c r="B485" s="1" t="s">
        <v>1019</v>
      </c>
      <c r="C485" s="1" t="s">
        <v>758</v>
      </c>
      <c r="D485" s="1" t="s">
        <v>759</v>
      </c>
      <c r="E485" s="1" t="s">
        <v>1020</v>
      </c>
      <c r="F485" s="1" t="str">
        <f>HYPERLINK("https://talan.bank.gov.ua/get-user-certificate/J53258meyoSlVkuouHjv","Завантажити сертифікат")</f>
        <v>Завантажити сертифікат</v>
      </c>
    </row>
    <row r="486" spans="1:6" ht="28.8" x14ac:dyDescent="0.3">
      <c r="A486" s="2">
        <v>485</v>
      </c>
      <c r="B486" s="1" t="s">
        <v>1021</v>
      </c>
      <c r="C486" s="1" t="s">
        <v>758</v>
      </c>
      <c r="D486" s="1" t="s">
        <v>759</v>
      </c>
      <c r="E486" s="1" t="s">
        <v>1022</v>
      </c>
      <c r="F486" s="1" t="str">
        <f>HYPERLINK("https://talan.bank.gov.ua/get-user-certificate/J5325IWvMiNFQbKaES9_","Завантажити сертифікат")</f>
        <v>Завантажити сертифікат</v>
      </c>
    </row>
    <row r="487" spans="1:6" ht="28.8" x14ac:dyDescent="0.3">
      <c r="A487" s="2">
        <v>486</v>
      </c>
      <c r="B487" s="1" t="s">
        <v>1023</v>
      </c>
      <c r="C487" s="1" t="s">
        <v>758</v>
      </c>
      <c r="D487" s="1" t="s">
        <v>759</v>
      </c>
      <c r="E487" s="1" t="s">
        <v>1024</v>
      </c>
      <c r="F487" s="1" t="str">
        <f>HYPERLINK("https://talan.bank.gov.ua/get-user-certificate/J5325eOBc72mD-6OwQwL","Завантажити сертифікат")</f>
        <v>Завантажити сертифікат</v>
      </c>
    </row>
    <row r="488" spans="1:6" ht="28.8" x14ac:dyDescent="0.3">
      <c r="A488" s="2">
        <v>487</v>
      </c>
      <c r="B488" s="1" t="s">
        <v>1025</v>
      </c>
      <c r="C488" s="1" t="s">
        <v>758</v>
      </c>
      <c r="D488" s="1" t="s">
        <v>759</v>
      </c>
      <c r="E488" s="1" t="s">
        <v>1026</v>
      </c>
      <c r="F488" s="1" t="str">
        <f>HYPERLINK("https://talan.bank.gov.ua/get-user-certificate/J5325zJIBKx0fmjbzx1z","Завантажити сертифікат")</f>
        <v>Завантажити сертифікат</v>
      </c>
    </row>
    <row r="489" spans="1:6" ht="28.8" x14ac:dyDescent="0.3">
      <c r="A489" s="2">
        <v>488</v>
      </c>
      <c r="B489" s="1" t="s">
        <v>1027</v>
      </c>
      <c r="C489" s="1" t="s">
        <v>758</v>
      </c>
      <c r="D489" s="1" t="s">
        <v>759</v>
      </c>
      <c r="E489" s="1" t="s">
        <v>1028</v>
      </c>
      <c r="F489" s="1" t="str">
        <f>HYPERLINK("https://talan.bank.gov.ua/get-user-certificate/J5325cr1mmWOQUb31mQi","Завантажити сертифікат")</f>
        <v>Завантажити сертифікат</v>
      </c>
    </row>
    <row r="490" spans="1:6" ht="28.8" x14ac:dyDescent="0.3">
      <c r="A490" s="2">
        <v>489</v>
      </c>
      <c r="B490" s="1" t="s">
        <v>1029</v>
      </c>
      <c r="C490" s="1" t="s">
        <v>758</v>
      </c>
      <c r="D490" s="1" t="s">
        <v>759</v>
      </c>
      <c r="E490" s="1" t="s">
        <v>1030</v>
      </c>
      <c r="F490" s="1" t="str">
        <f>HYPERLINK("https://talan.bank.gov.ua/get-user-certificate/J5325wFwD1u4elDT29i6","Завантажити сертифікат")</f>
        <v>Завантажити сертифікат</v>
      </c>
    </row>
    <row r="491" spans="1:6" ht="28.8" x14ac:dyDescent="0.3">
      <c r="A491" s="2">
        <v>490</v>
      </c>
      <c r="B491" s="1" t="s">
        <v>1031</v>
      </c>
      <c r="C491" s="1" t="s">
        <v>758</v>
      </c>
      <c r="D491" s="1" t="s">
        <v>759</v>
      </c>
      <c r="E491" s="1" t="s">
        <v>1032</v>
      </c>
      <c r="F491" s="1" t="str">
        <f>HYPERLINK("https://talan.bank.gov.ua/get-user-certificate/J5325i7uY08ub7cJYSRb","Завантажити сертифікат")</f>
        <v>Завантажити сертифікат</v>
      </c>
    </row>
    <row r="492" spans="1:6" ht="28.8" x14ac:dyDescent="0.3">
      <c r="A492" s="2">
        <v>491</v>
      </c>
      <c r="B492" s="1" t="s">
        <v>1033</v>
      </c>
      <c r="C492" s="1" t="s">
        <v>758</v>
      </c>
      <c r="D492" s="1" t="s">
        <v>759</v>
      </c>
      <c r="E492" s="1" t="s">
        <v>1034</v>
      </c>
      <c r="F492" s="1" t="str">
        <f>HYPERLINK("https://talan.bank.gov.ua/get-user-certificate/J5325RItuZgNw4Ne90yQ","Завантажити сертифікат")</f>
        <v>Завантажити сертифікат</v>
      </c>
    </row>
    <row r="493" spans="1:6" ht="28.8" x14ac:dyDescent="0.3">
      <c r="A493" s="2">
        <v>492</v>
      </c>
      <c r="B493" s="1" t="s">
        <v>1035</v>
      </c>
      <c r="C493" s="1" t="s">
        <v>758</v>
      </c>
      <c r="D493" s="1" t="s">
        <v>759</v>
      </c>
      <c r="E493" s="1" t="s">
        <v>1036</v>
      </c>
      <c r="F493" s="1" t="str">
        <f>HYPERLINK("https://talan.bank.gov.ua/get-user-certificate/J5325ijkl0CZFSUd61Dh","Завантажити сертифікат")</f>
        <v>Завантажити сертифікат</v>
      </c>
    </row>
    <row r="494" spans="1:6" ht="28.8" x14ac:dyDescent="0.3">
      <c r="A494" s="2">
        <v>493</v>
      </c>
      <c r="B494" s="1" t="s">
        <v>1037</v>
      </c>
      <c r="C494" s="1" t="s">
        <v>758</v>
      </c>
      <c r="D494" s="1" t="s">
        <v>759</v>
      </c>
      <c r="E494" s="1" t="s">
        <v>1038</v>
      </c>
      <c r="F494" s="1" t="str">
        <f>HYPERLINK("https://talan.bank.gov.ua/get-user-certificate/J5325qP3KcNi-z3ngiko","Завантажити сертифікат")</f>
        <v>Завантажити сертифікат</v>
      </c>
    </row>
    <row r="495" spans="1:6" ht="28.8" x14ac:dyDescent="0.3">
      <c r="A495" s="2">
        <v>494</v>
      </c>
      <c r="B495" s="1" t="s">
        <v>1039</v>
      </c>
      <c r="C495" s="1" t="s">
        <v>758</v>
      </c>
      <c r="D495" s="1" t="s">
        <v>759</v>
      </c>
      <c r="E495" s="1" t="s">
        <v>1040</v>
      </c>
      <c r="F495" s="1" t="str">
        <f>HYPERLINK("https://talan.bank.gov.ua/get-user-certificate/J5325mFrxhR0R3Ggjc91","Завантажити сертифікат")</f>
        <v>Завантажити сертифікат</v>
      </c>
    </row>
    <row r="496" spans="1:6" ht="28.8" x14ac:dyDescent="0.3">
      <c r="A496" s="2">
        <v>495</v>
      </c>
      <c r="B496" s="1" t="s">
        <v>1041</v>
      </c>
      <c r="C496" s="1" t="s">
        <v>758</v>
      </c>
      <c r="D496" s="1" t="s">
        <v>759</v>
      </c>
      <c r="E496" s="1" t="s">
        <v>1042</v>
      </c>
      <c r="F496" s="1" t="str">
        <f>HYPERLINK("https://talan.bank.gov.ua/get-user-certificate/J5325QPIvpNFFUpyrqia","Завантажити сертифікат")</f>
        <v>Завантажити сертифікат</v>
      </c>
    </row>
    <row r="497" spans="1:6" ht="28.8" x14ac:dyDescent="0.3">
      <c r="A497" s="2">
        <v>496</v>
      </c>
      <c r="B497" s="1" t="s">
        <v>1043</v>
      </c>
      <c r="C497" s="1" t="s">
        <v>758</v>
      </c>
      <c r="D497" s="1" t="s">
        <v>759</v>
      </c>
      <c r="E497" s="1" t="s">
        <v>856</v>
      </c>
      <c r="F497" s="1" t="str">
        <f>HYPERLINK("https://talan.bank.gov.ua/get-user-certificate/J5325RYyvsHT7_kE3YWX","Завантажити сертифікат")</f>
        <v>Завантажити сертифікат</v>
      </c>
    </row>
    <row r="498" spans="1:6" ht="28.8" x14ac:dyDescent="0.3">
      <c r="A498" s="2">
        <v>497</v>
      </c>
      <c r="B498" s="1" t="s">
        <v>1044</v>
      </c>
      <c r="C498" s="1" t="s">
        <v>758</v>
      </c>
      <c r="D498" s="1" t="s">
        <v>759</v>
      </c>
      <c r="E498" s="1" t="s">
        <v>1045</v>
      </c>
      <c r="F498" s="1" t="str">
        <f>HYPERLINK("https://talan.bank.gov.ua/get-user-certificate/J5325vJcXXkXn1caUeKv","Завантажити сертифікат")</f>
        <v>Завантажити сертифікат</v>
      </c>
    </row>
    <row r="499" spans="1:6" ht="28.8" x14ac:dyDescent="0.3">
      <c r="A499" s="2">
        <v>498</v>
      </c>
      <c r="B499" s="1" t="s">
        <v>1046</v>
      </c>
      <c r="C499" s="1" t="s">
        <v>758</v>
      </c>
      <c r="D499" s="1" t="s">
        <v>759</v>
      </c>
      <c r="E499" s="1" t="s">
        <v>1047</v>
      </c>
      <c r="F499" s="1" t="str">
        <f>HYPERLINK("https://talan.bank.gov.ua/get-user-certificate/J5325EKTo6lEcUEhjUMa","Завантажити сертифікат")</f>
        <v>Завантажити сертифікат</v>
      </c>
    </row>
    <row r="500" spans="1:6" ht="28.8" x14ac:dyDescent="0.3">
      <c r="A500" s="2">
        <v>499</v>
      </c>
      <c r="B500" s="1" t="s">
        <v>1048</v>
      </c>
      <c r="C500" s="1" t="s">
        <v>758</v>
      </c>
      <c r="D500" s="1" t="s">
        <v>759</v>
      </c>
      <c r="E500" s="1" t="s">
        <v>1049</v>
      </c>
      <c r="F500" s="1" t="str">
        <f>HYPERLINK("https://talan.bank.gov.ua/get-user-certificate/J5325CZBc8N5GLr9-i1t","Завантажити сертифікат")</f>
        <v>Завантажити сертифікат</v>
      </c>
    </row>
    <row r="501" spans="1:6" ht="28.8" x14ac:dyDescent="0.3">
      <c r="A501" s="2">
        <v>500</v>
      </c>
      <c r="B501" s="1" t="s">
        <v>1050</v>
      </c>
      <c r="C501" s="1" t="s">
        <v>758</v>
      </c>
      <c r="D501" s="1" t="s">
        <v>759</v>
      </c>
      <c r="E501" s="1" t="s">
        <v>1051</v>
      </c>
      <c r="F501" s="1" t="str">
        <f>HYPERLINK("https://talan.bank.gov.ua/get-user-certificate/J5325LUEdMrvK9IjOcCH","Завантажити сертифікат")</f>
        <v>Завантажити сертифікат</v>
      </c>
    </row>
    <row r="502" spans="1:6" ht="28.8" x14ac:dyDescent="0.3">
      <c r="A502" s="2">
        <v>501</v>
      </c>
      <c r="B502" s="1" t="s">
        <v>1052</v>
      </c>
      <c r="C502" s="1" t="s">
        <v>758</v>
      </c>
      <c r="D502" s="1" t="s">
        <v>759</v>
      </c>
      <c r="E502" s="1" t="s">
        <v>1053</v>
      </c>
      <c r="F502" s="1" t="str">
        <f>HYPERLINK("https://talan.bank.gov.ua/get-user-certificate/J5325jD71wtlJz4uA8Lx","Завантажити сертифікат")</f>
        <v>Завантажити сертифікат</v>
      </c>
    </row>
    <row r="503" spans="1:6" ht="28.8" x14ac:dyDescent="0.3">
      <c r="A503" s="2">
        <v>502</v>
      </c>
      <c r="B503" s="1" t="s">
        <v>1054</v>
      </c>
      <c r="C503" s="1" t="s">
        <v>758</v>
      </c>
      <c r="D503" s="1" t="s">
        <v>759</v>
      </c>
      <c r="E503" s="1" t="s">
        <v>1055</v>
      </c>
      <c r="F503" s="1" t="str">
        <f>HYPERLINK("https://talan.bank.gov.ua/get-user-certificate/J5325DiJ4a0Nr_mN1Qsm","Завантажити сертифікат")</f>
        <v>Завантажити сертифікат</v>
      </c>
    </row>
    <row r="504" spans="1:6" ht="28.8" x14ac:dyDescent="0.3">
      <c r="A504" s="2">
        <v>503</v>
      </c>
      <c r="B504" s="1" t="s">
        <v>1056</v>
      </c>
      <c r="C504" s="1" t="s">
        <v>758</v>
      </c>
      <c r="D504" s="1" t="s">
        <v>759</v>
      </c>
      <c r="E504" s="1" t="s">
        <v>1057</v>
      </c>
      <c r="F504" s="1" t="str">
        <f>HYPERLINK("https://talan.bank.gov.ua/get-user-certificate/J5325HZ2PlZo8HikME_P","Завантажити сертифікат")</f>
        <v>Завантажити сертифікат</v>
      </c>
    </row>
    <row r="505" spans="1:6" ht="28.8" x14ac:dyDescent="0.3">
      <c r="A505" s="2">
        <v>504</v>
      </c>
      <c r="B505" s="1" t="s">
        <v>1058</v>
      </c>
      <c r="C505" s="1" t="s">
        <v>758</v>
      </c>
      <c r="D505" s="1" t="s">
        <v>759</v>
      </c>
      <c r="E505" s="1" t="s">
        <v>1059</v>
      </c>
      <c r="F505" s="1" t="str">
        <f>HYPERLINK("https://talan.bank.gov.ua/get-user-certificate/J5325286O3GD8SFmHv2X","Завантажити сертифікат")</f>
        <v>Завантажити сертифікат</v>
      </c>
    </row>
    <row r="506" spans="1:6" ht="28.8" x14ac:dyDescent="0.3">
      <c r="A506" s="2">
        <v>505</v>
      </c>
      <c r="B506" s="1" t="s">
        <v>1060</v>
      </c>
      <c r="C506" s="1" t="s">
        <v>758</v>
      </c>
      <c r="D506" s="1" t="s">
        <v>759</v>
      </c>
      <c r="E506" s="1" t="s">
        <v>1061</v>
      </c>
      <c r="F506" s="1" t="str">
        <f>HYPERLINK("https://talan.bank.gov.ua/get-user-certificate/J5325knH6OFR1Z64UIyT","Завантажити сертифікат")</f>
        <v>Завантажити сертифікат</v>
      </c>
    </row>
    <row r="507" spans="1:6" ht="28.8" x14ac:dyDescent="0.3">
      <c r="A507" s="2">
        <v>506</v>
      </c>
      <c r="B507" s="1" t="s">
        <v>1062</v>
      </c>
      <c r="C507" s="1" t="s">
        <v>758</v>
      </c>
      <c r="D507" s="1" t="s">
        <v>759</v>
      </c>
      <c r="E507" s="1" t="s">
        <v>1063</v>
      </c>
      <c r="F507" s="1" t="str">
        <f>HYPERLINK("https://talan.bank.gov.ua/get-user-certificate/J5325rjKBIDEk5nt4Rri","Завантажити сертифікат")</f>
        <v>Завантажити сертифікат</v>
      </c>
    </row>
    <row r="508" spans="1:6" ht="28.8" x14ac:dyDescent="0.3">
      <c r="A508" s="2">
        <v>507</v>
      </c>
      <c r="B508" s="1" t="s">
        <v>1064</v>
      </c>
      <c r="C508" s="1" t="s">
        <v>758</v>
      </c>
      <c r="D508" s="1" t="s">
        <v>759</v>
      </c>
      <c r="E508" s="1" t="s">
        <v>1065</v>
      </c>
      <c r="F508" s="1" t="str">
        <f>HYPERLINK("https://talan.bank.gov.ua/get-user-certificate/J5325dkcUKaMgmMzL3aA","Завантажити сертифікат")</f>
        <v>Завантажити сертифікат</v>
      </c>
    </row>
    <row r="509" spans="1:6" ht="28.8" x14ac:dyDescent="0.3">
      <c r="A509" s="2">
        <v>508</v>
      </c>
      <c r="B509" s="1" t="s">
        <v>1066</v>
      </c>
      <c r="C509" s="1" t="s">
        <v>758</v>
      </c>
      <c r="D509" s="1" t="s">
        <v>759</v>
      </c>
      <c r="E509" s="1" t="s">
        <v>1067</v>
      </c>
      <c r="F509" s="1" t="str">
        <f>HYPERLINK("https://talan.bank.gov.ua/get-user-certificate/J5325uuaQpUqXRK_Nfdx","Завантажити сертифікат")</f>
        <v>Завантажити сертифікат</v>
      </c>
    </row>
    <row r="510" spans="1:6" ht="28.8" x14ac:dyDescent="0.3">
      <c r="A510" s="2">
        <v>509</v>
      </c>
      <c r="B510" s="1" t="s">
        <v>1068</v>
      </c>
      <c r="C510" s="1" t="s">
        <v>758</v>
      </c>
      <c r="D510" s="1" t="s">
        <v>759</v>
      </c>
      <c r="E510" s="1" t="s">
        <v>1069</v>
      </c>
      <c r="F510" s="1" t="str">
        <f>HYPERLINK("https://talan.bank.gov.ua/get-user-certificate/J5325QkYfFt_JbB1rfrB","Завантажити сертифікат")</f>
        <v>Завантажити сертифікат</v>
      </c>
    </row>
    <row r="511" spans="1:6" ht="28.8" x14ac:dyDescent="0.3">
      <c r="A511" s="2">
        <v>510</v>
      </c>
      <c r="B511" s="1" t="s">
        <v>1070</v>
      </c>
      <c r="C511" s="1" t="s">
        <v>758</v>
      </c>
      <c r="D511" s="1" t="s">
        <v>759</v>
      </c>
      <c r="E511" s="1" t="s">
        <v>1071</v>
      </c>
      <c r="F511" s="1" t="str">
        <f>HYPERLINK("https://talan.bank.gov.ua/get-user-certificate/J5325kmutSyKoWNm3i5V","Завантажити сертифікат")</f>
        <v>Завантажити сертифікат</v>
      </c>
    </row>
    <row r="512" spans="1:6" ht="28.8" x14ac:dyDescent="0.3">
      <c r="A512" s="2">
        <v>511</v>
      </c>
      <c r="B512" s="1" t="s">
        <v>1072</v>
      </c>
      <c r="C512" s="1" t="s">
        <v>758</v>
      </c>
      <c r="D512" s="1" t="s">
        <v>759</v>
      </c>
      <c r="E512" s="1" t="s">
        <v>1073</v>
      </c>
      <c r="F512" s="1" t="str">
        <f>HYPERLINK("https://talan.bank.gov.ua/get-user-certificate/J5325lonlSSyHjX-S705","Завантажити сертифікат")</f>
        <v>Завантажити сертифікат</v>
      </c>
    </row>
    <row r="513" spans="1:6" ht="28.8" x14ac:dyDescent="0.3">
      <c r="A513" s="2">
        <v>512</v>
      </c>
      <c r="B513" s="1" t="s">
        <v>1074</v>
      </c>
      <c r="C513" s="1" t="s">
        <v>758</v>
      </c>
      <c r="D513" s="1" t="s">
        <v>759</v>
      </c>
      <c r="E513" s="1" t="s">
        <v>1075</v>
      </c>
      <c r="F513" s="1" t="str">
        <f>HYPERLINK("https://talan.bank.gov.ua/get-user-certificate/J5325lz_Z8dLul1bgpp7","Завантажити сертифікат")</f>
        <v>Завантажити сертифікат</v>
      </c>
    </row>
    <row r="514" spans="1:6" ht="28.8" x14ac:dyDescent="0.3">
      <c r="A514" s="2">
        <v>513</v>
      </c>
      <c r="B514" s="1" t="s">
        <v>1076</v>
      </c>
      <c r="C514" s="1" t="s">
        <v>758</v>
      </c>
      <c r="D514" s="1" t="s">
        <v>759</v>
      </c>
      <c r="E514" s="1" t="s">
        <v>1077</v>
      </c>
      <c r="F514" s="1" t="str">
        <f>HYPERLINK("https://talan.bank.gov.ua/get-user-certificate/J5325pvbuxKKaKhkjkce","Завантажити сертифікат")</f>
        <v>Завантажити сертифікат</v>
      </c>
    </row>
    <row r="515" spans="1:6" ht="28.8" x14ac:dyDescent="0.3">
      <c r="A515" s="2">
        <v>514</v>
      </c>
      <c r="B515" s="1" t="s">
        <v>1078</v>
      </c>
      <c r="C515" s="1" t="s">
        <v>758</v>
      </c>
      <c r="D515" s="1" t="s">
        <v>759</v>
      </c>
      <c r="E515" s="1" t="s">
        <v>1079</v>
      </c>
      <c r="F515" s="1" t="str">
        <f>HYPERLINK("https://talan.bank.gov.ua/get-user-certificate/J5325ts6_pmqmWWKgpmb","Завантажити сертифікат")</f>
        <v>Завантажити сертифікат</v>
      </c>
    </row>
    <row r="516" spans="1:6" ht="28.8" x14ac:dyDescent="0.3">
      <c r="A516" s="2">
        <v>515</v>
      </c>
      <c r="B516" s="1" t="s">
        <v>1080</v>
      </c>
      <c r="C516" s="1" t="s">
        <v>758</v>
      </c>
      <c r="D516" s="1" t="s">
        <v>759</v>
      </c>
      <c r="E516" s="1" t="s">
        <v>1081</v>
      </c>
      <c r="F516" s="1" t="str">
        <f>HYPERLINK("https://talan.bank.gov.ua/get-user-certificate/J53254mSr-8T8J1V0Z-6","Завантажити сертифікат")</f>
        <v>Завантажити сертифікат</v>
      </c>
    </row>
    <row r="517" spans="1:6" ht="28.8" x14ac:dyDescent="0.3">
      <c r="A517" s="2">
        <v>516</v>
      </c>
      <c r="B517" s="1" t="s">
        <v>1082</v>
      </c>
      <c r="C517" s="1" t="s">
        <v>758</v>
      </c>
      <c r="D517" s="1" t="s">
        <v>759</v>
      </c>
      <c r="E517" s="1" t="s">
        <v>1083</v>
      </c>
      <c r="F517" s="1" t="str">
        <f>HYPERLINK("https://talan.bank.gov.ua/get-user-certificate/J5325u0YjgNNRcgLPoEt","Завантажити сертифікат")</f>
        <v>Завантажити сертифікат</v>
      </c>
    </row>
    <row r="518" spans="1:6" ht="28.8" x14ac:dyDescent="0.3">
      <c r="A518" s="2">
        <v>517</v>
      </c>
      <c r="B518" s="1" t="s">
        <v>1084</v>
      </c>
      <c r="C518" s="1" t="s">
        <v>758</v>
      </c>
      <c r="D518" s="1" t="s">
        <v>759</v>
      </c>
      <c r="E518" s="1" t="s">
        <v>1085</v>
      </c>
      <c r="F518" s="1" t="str">
        <f>HYPERLINK("https://talan.bank.gov.ua/get-user-certificate/J5325La5ItcbM7_m7ZyR","Завантажити сертифікат")</f>
        <v>Завантажити сертифікат</v>
      </c>
    </row>
    <row r="519" spans="1:6" ht="28.8" x14ac:dyDescent="0.3">
      <c r="A519" s="2">
        <v>518</v>
      </c>
      <c r="B519" s="1" t="s">
        <v>1086</v>
      </c>
      <c r="C519" s="1" t="s">
        <v>758</v>
      </c>
      <c r="D519" s="1" t="s">
        <v>759</v>
      </c>
      <c r="E519" s="1" t="s">
        <v>1087</v>
      </c>
      <c r="F519" s="1" t="str">
        <f>HYPERLINK("https://talan.bank.gov.ua/get-user-certificate/J5325z7xIxqo0W6_z5AB","Завантажити сертифікат")</f>
        <v>Завантажити сертифікат</v>
      </c>
    </row>
    <row r="520" spans="1:6" ht="28.8" x14ac:dyDescent="0.3">
      <c r="A520" s="2">
        <v>519</v>
      </c>
      <c r="B520" s="1" t="s">
        <v>1088</v>
      </c>
      <c r="C520" s="1" t="s">
        <v>758</v>
      </c>
      <c r="D520" s="1" t="s">
        <v>759</v>
      </c>
      <c r="E520" s="1" t="s">
        <v>1089</v>
      </c>
      <c r="F520" s="1" t="str">
        <f>HYPERLINK("https://talan.bank.gov.ua/get-user-certificate/J5325F70PInYNLA-a-AC","Завантажити сертифікат")</f>
        <v>Завантажити сертифікат</v>
      </c>
    </row>
    <row r="521" spans="1:6" ht="28.8" x14ac:dyDescent="0.3">
      <c r="A521" s="2">
        <v>520</v>
      </c>
      <c r="B521" s="1" t="s">
        <v>1090</v>
      </c>
      <c r="C521" s="1" t="s">
        <v>758</v>
      </c>
      <c r="D521" s="1" t="s">
        <v>759</v>
      </c>
      <c r="E521" s="1" t="s">
        <v>1091</v>
      </c>
      <c r="F521" s="1" t="str">
        <f>HYPERLINK("https://talan.bank.gov.ua/get-user-certificate/J532572p5GaC4LFqIQxv","Завантажити сертифікат")</f>
        <v>Завантажити сертифікат</v>
      </c>
    </row>
    <row r="522" spans="1:6" ht="28.8" x14ac:dyDescent="0.3">
      <c r="A522" s="2">
        <v>521</v>
      </c>
      <c r="B522" s="1" t="s">
        <v>1092</v>
      </c>
      <c r="C522" s="1" t="s">
        <v>758</v>
      </c>
      <c r="D522" s="1" t="s">
        <v>759</v>
      </c>
      <c r="E522" s="1" t="s">
        <v>1093</v>
      </c>
      <c r="F522" s="1" t="str">
        <f>HYPERLINK("https://talan.bank.gov.ua/get-user-certificate/J5325XLqbcC6mkYAtcs6","Завантажити сертифікат")</f>
        <v>Завантажити сертифікат</v>
      </c>
    </row>
    <row r="523" spans="1:6" ht="28.8" x14ac:dyDescent="0.3">
      <c r="A523" s="2">
        <v>522</v>
      </c>
      <c r="B523" s="1" t="s">
        <v>1094</v>
      </c>
      <c r="C523" s="1" t="s">
        <v>758</v>
      </c>
      <c r="D523" s="1" t="s">
        <v>759</v>
      </c>
      <c r="E523" s="1" t="s">
        <v>1095</v>
      </c>
      <c r="F523" s="1" t="str">
        <f>HYPERLINK("https://talan.bank.gov.ua/get-user-certificate/J5325Hq2IDcAR2gknWa-","Завантажити сертифікат")</f>
        <v>Завантажити сертифікат</v>
      </c>
    </row>
    <row r="524" spans="1:6" ht="28.8" x14ac:dyDescent="0.3">
      <c r="A524" s="2">
        <v>523</v>
      </c>
      <c r="B524" s="1" t="s">
        <v>1096</v>
      </c>
      <c r="C524" s="1" t="s">
        <v>758</v>
      </c>
      <c r="D524" s="1" t="s">
        <v>759</v>
      </c>
      <c r="E524" s="1" t="s">
        <v>1097</v>
      </c>
      <c r="F524" s="1" t="str">
        <f>HYPERLINK("https://talan.bank.gov.ua/get-user-certificate/J5325foGuU_xnJiVnIZf","Завантажити сертифікат")</f>
        <v>Завантажити сертифікат</v>
      </c>
    </row>
    <row r="525" spans="1:6" ht="28.8" x14ac:dyDescent="0.3">
      <c r="A525" s="2">
        <v>524</v>
      </c>
      <c r="B525" s="1" t="s">
        <v>1098</v>
      </c>
      <c r="C525" s="1" t="s">
        <v>758</v>
      </c>
      <c r="D525" s="1" t="s">
        <v>759</v>
      </c>
      <c r="E525" s="1" t="s">
        <v>1099</v>
      </c>
      <c r="F525" s="1" t="str">
        <f>HYPERLINK("https://talan.bank.gov.ua/get-user-certificate/J5325t4PYBQifpzCtrM_","Завантажити сертифікат")</f>
        <v>Завантажити сертифікат</v>
      </c>
    </row>
    <row r="526" spans="1:6" ht="28.8" x14ac:dyDescent="0.3">
      <c r="A526" s="2">
        <v>525</v>
      </c>
      <c r="B526" s="1" t="s">
        <v>1100</v>
      </c>
      <c r="C526" s="1" t="s">
        <v>758</v>
      </c>
      <c r="D526" s="1" t="s">
        <v>759</v>
      </c>
      <c r="E526" s="1" t="s">
        <v>1101</v>
      </c>
      <c r="F526" s="1" t="str">
        <f>HYPERLINK("https://talan.bank.gov.ua/get-user-certificate/J5325N9ZYBd2Rf616tOE","Завантажити сертифікат")</f>
        <v>Завантажити сертифікат</v>
      </c>
    </row>
    <row r="527" spans="1:6" ht="28.8" x14ac:dyDescent="0.3">
      <c r="A527" s="2">
        <v>526</v>
      </c>
      <c r="B527" s="1" t="s">
        <v>1102</v>
      </c>
      <c r="C527" s="1" t="s">
        <v>758</v>
      </c>
      <c r="D527" s="1" t="s">
        <v>759</v>
      </c>
      <c r="E527" s="1" t="s">
        <v>1103</v>
      </c>
      <c r="F527" s="1" t="str">
        <f>HYPERLINK("https://talan.bank.gov.ua/get-user-certificate/J5325ivQyPVLca92-cXn","Завантажити сертифікат")</f>
        <v>Завантажити сертифікат</v>
      </c>
    </row>
    <row r="528" spans="1:6" ht="28.8" x14ac:dyDescent="0.3">
      <c r="A528" s="2">
        <v>527</v>
      </c>
      <c r="B528" s="1" t="s">
        <v>1104</v>
      </c>
      <c r="C528" s="1" t="s">
        <v>758</v>
      </c>
      <c r="D528" s="1" t="s">
        <v>759</v>
      </c>
      <c r="E528" s="1" t="s">
        <v>1105</v>
      </c>
      <c r="F528" s="1" t="str">
        <f>HYPERLINK("https://talan.bank.gov.ua/get-user-certificate/J5325o8Len3YskSfVOV9","Завантажити сертифікат")</f>
        <v>Завантажити сертифікат</v>
      </c>
    </row>
    <row r="529" spans="1:6" ht="28.8" x14ac:dyDescent="0.3">
      <c r="A529" s="2">
        <v>528</v>
      </c>
      <c r="B529" s="1" t="s">
        <v>1106</v>
      </c>
      <c r="C529" s="1" t="s">
        <v>758</v>
      </c>
      <c r="D529" s="1" t="s">
        <v>759</v>
      </c>
      <c r="E529" s="1" t="s">
        <v>1107</v>
      </c>
      <c r="F529" s="1" t="str">
        <f>HYPERLINK("https://talan.bank.gov.ua/get-user-certificate/J5325IPoNvZ-M5k6UZgz","Завантажити сертифікат")</f>
        <v>Завантажити сертифікат</v>
      </c>
    </row>
    <row r="530" spans="1:6" x14ac:dyDescent="0.3">
      <c r="A530" s="2">
        <v>529</v>
      </c>
      <c r="B530" s="1" t="s">
        <v>1108</v>
      </c>
      <c r="C530" s="1" t="s">
        <v>1109</v>
      </c>
      <c r="D530" s="1" t="s">
        <v>1110</v>
      </c>
      <c r="E530" s="1" t="s">
        <v>1111</v>
      </c>
      <c r="F530" s="1" t="str">
        <f>HYPERLINK("https://talan.bank.gov.ua/get-user-certificate/J5325PQ5iADluQS3Pv5n","Завантажити сертифікат")</f>
        <v>Завантажити сертифікат</v>
      </c>
    </row>
    <row r="531" spans="1:6" x14ac:dyDescent="0.3">
      <c r="A531" s="2">
        <v>530</v>
      </c>
      <c r="B531" s="1" t="s">
        <v>1112</v>
      </c>
      <c r="C531" s="1" t="s">
        <v>1109</v>
      </c>
      <c r="D531" s="1" t="s">
        <v>1110</v>
      </c>
      <c r="E531" s="1" t="s">
        <v>1113</v>
      </c>
      <c r="F531" s="1" t="str">
        <f>HYPERLINK("https://talan.bank.gov.ua/get-user-certificate/J53254JsPLDBqiS0p-Ae","Завантажити сертифікат")</f>
        <v>Завантажити сертифікат</v>
      </c>
    </row>
    <row r="532" spans="1:6" x14ac:dyDescent="0.3">
      <c r="A532" s="2">
        <v>531</v>
      </c>
      <c r="B532" s="1" t="s">
        <v>1114</v>
      </c>
      <c r="C532" s="1" t="s">
        <v>1109</v>
      </c>
      <c r="D532" s="1" t="s">
        <v>1110</v>
      </c>
      <c r="E532" s="1" t="s">
        <v>1115</v>
      </c>
      <c r="F532" s="1" t="str">
        <f>HYPERLINK("https://talan.bank.gov.ua/get-user-certificate/J5325xc--6Wy1r9x955s","Завантажити сертифікат")</f>
        <v>Завантажити сертифікат</v>
      </c>
    </row>
    <row r="533" spans="1:6" x14ac:dyDescent="0.3">
      <c r="A533" s="2">
        <v>532</v>
      </c>
      <c r="B533" s="1" t="s">
        <v>1116</v>
      </c>
      <c r="C533" s="1" t="s">
        <v>1109</v>
      </c>
      <c r="D533" s="1" t="s">
        <v>1110</v>
      </c>
      <c r="E533" s="1" t="s">
        <v>1117</v>
      </c>
      <c r="F533" s="1" t="str">
        <f>HYPERLINK("https://talan.bank.gov.ua/get-user-certificate/J5325Na_rf9YpEiklet9","Завантажити сертифікат")</f>
        <v>Завантажити сертифікат</v>
      </c>
    </row>
    <row r="534" spans="1:6" x14ac:dyDescent="0.3">
      <c r="A534" s="2">
        <v>533</v>
      </c>
      <c r="B534" s="1" t="s">
        <v>1118</v>
      </c>
      <c r="C534" s="1" t="s">
        <v>1109</v>
      </c>
      <c r="D534" s="1" t="s">
        <v>1110</v>
      </c>
      <c r="E534" s="1" t="s">
        <v>1119</v>
      </c>
      <c r="F534" s="1" t="str">
        <f>HYPERLINK("https://talan.bank.gov.ua/get-user-certificate/J5325PCDhafpkazIPgSN","Завантажити сертифікат")</f>
        <v>Завантажити сертифікат</v>
      </c>
    </row>
    <row r="535" spans="1:6" x14ac:dyDescent="0.3">
      <c r="A535" s="2">
        <v>534</v>
      </c>
      <c r="B535" s="1" t="s">
        <v>1120</v>
      </c>
      <c r="C535" s="1" t="s">
        <v>1109</v>
      </c>
      <c r="D535" s="1" t="s">
        <v>1110</v>
      </c>
      <c r="E535" s="1" t="s">
        <v>1121</v>
      </c>
      <c r="F535" s="1" t="str">
        <f>HYPERLINK("https://talan.bank.gov.ua/get-user-certificate/J5325gy8L34DC1wtaVAT","Завантажити сертифікат")</f>
        <v>Завантажити сертифікат</v>
      </c>
    </row>
    <row r="536" spans="1:6" x14ac:dyDescent="0.3">
      <c r="A536" s="2">
        <v>535</v>
      </c>
      <c r="B536" s="1" t="s">
        <v>1122</v>
      </c>
      <c r="C536" s="1" t="s">
        <v>1109</v>
      </c>
      <c r="D536" s="1" t="s">
        <v>1110</v>
      </c>
      <c r="E536" s="1" t="s">
        <v>1123</v>
      </c>
      <c r="F536" s="1" t="str">
        <f>HYPERLINK("https://talan.bank.gov.ua/get-user-certificate/J53255C-pUCP2iZwI5tq","Завантажити сертифікат")</f>
        <v>Завантажити сертифікат</v>
      </c>
    </row>
    <row r="537" spans="1:6" x14ac:dyDescent="0.3">
      <c r="A537" s="2">
        <v>536</v>
      </c>
      <c r="B537" s="1" t="s">
        <v>1124</v>
      </c>
      <c r="C537" s="1" t="s">
        <v>1109</v>
      </c>
      <c r="D537" s="1" t="s">
        <v>1110</v>
      </c>
      <c r="E537" s="1" t="s">
        <v>1125</v>
      </c>
      <c r="F537" s="1" t="str">
        <f>HYPERLINK("https://talan.bank.gov.ua/get-user-certificate/J5325uIfcfyLHeKY0LC6","Завантажити сертифікат")</f>
        <v>Завантажити сертифікат</v>
      </c>
    </row>
    <row r="538" spans="1:6" x14ac:dyDescent="0.3">
      <c r="A538" s="2">
        <v>537</v>
      </c>
      <c r="B538" s="1" t="s">
        <v>1126</v>
      </c>
      <c r="C538" s="1" t="s">
        <v>1109</v>
      </c>
      <c r="D538" s="1" t="s">
        <v>1110</v>
      </c>
      <c r="E538" s="1" t="s">
        <v>1127</v>
      </c>
      <c r="F538" s="1" t="str">
        <f>HYPERLINK("https://talan.bank.gov.ua/get-user-certificate/J5325SrEzxRE8f147WQ0","Завантажити сертифікат")</f>
        <v>Завантажити сертифікат</v>
      </c>
    </row>
    <row r="539" spans="1:6" x14ac:dyDescent="0.3">
      <c r="A539" s="2">
        <v>538</v>
      </c>
      <c r="B539" s="1" t="s">
        <v>1128</v>
      </c>
      <c r="C539" s="1" t="s">
        <v>1109</v>
      </c>
      <c r="D539" s="1" t="s">
        <v>1110</v>
      </c>
      <c r="E539" s="1" t="s">
        <v>1129</v>
      </c>
      <c r="F539" s="1" t="str">
        <f>HYPERLINK("https://talan.bank.gov.ua/get-user-certificate/J53255sOerdzrDaicuP6","Завантажити сертифікат")</f>
        <v>Завантажити сертифікат</v>
      </c>
    </row>
    <row r="540" spans="1:6" x14ac:dyDescent="0.3">
      <c r="A540" s="2">
        <v>539</v>
      </c>
      <c r="B540" s="1" t="s">
        <v>1130</v>
      </c>
      <c r="C540" s="1" t="s">
        <v>1109</v>
      </c>
      <c r="D540" s="1" t="s">
        <v>1110</v>
      </c>
      <c r="E540" s="1" t="s">
        <v>1131</v>
      </c>
      <c r="F540" s="1" t="str">
        <f>HYPERLINK("https://talan.bank.gov.ua/get-user-certificate/J532546EOmc3taj2GYKJ","Завантажити сертифікат")</f>
        <v>Завантажити сертифікат</v>
      </c>
    </row>
    <row r="541" spans="1:6" x14ac:dyDescent="0.3">
      <c r="A541" s="2">
        <v>540</v>
      </c>
      <c r="B541" s="1" t="s">
        <v>1132</v>
      </c>
      <c r="C541" s="1" t="s">
        <v>1109</v>
      </c>
      <c r="D541" s="1" t="s">
        <v>1110</v>
      </c>
      <c r="E541" s="1" t="s">
        <v>1133</v>
      </c>
      <c r="F541" s="1" t="str">
        <f>HYPERLINK("https://talan.bank.gov.ua/get-user-certificate/J5325bXcP8IWlUD9sN8q","Завантажити сертифікат")</f>
        <v>Завантажити сертифікат</v>
      </c>
    </row>
    <row r="542" spans="1:6" x14ac:dyDescent="0.3">
      <c r="A542" s="2">
        <v>541</v>
      </c>
      <c r="B542" s="1" t="s">
        <v>1134</v>
      </c>
      <c r="C542" s="1" t="s">
        <v>1109</v>
      </c>
      <c r="D542" s="1" t="s">
        <v>1110</v>
      </c>
      <c r="E542" s="1" t="s">
        <v>1135</v>
      </c>
      <c r="F542" s="1" t="str">
        <f>HYPERLINK("https://talan.bank.gov.ua/get-user-certificate/J5325nnd-P0Xb8bRx-2f","Завантажити сертифікат")</f>
        <v>Завантажити сертифікат</v>
      </c>
    </row>
    <row r="543" spans="1:6" x14ac:dyDescent="0.3">
      <c r="A543" s="2">
        <v>542</v>
      </c>
      <c r="B543" s="1" t="s">
        <v>1136</v>
      </c>
      <c r="C543" s="1" t="s">
        <v>1109</v>
      </c>
      <c r="D543" s="1" t="s">
        <v>1110</v>
      </c>
      <c r="E543" s="1" t="s">
        <v>1137</v>
      </c>
      <c r="F543" s="1" t="str">
        <f>HYPERLINK("https://talan.bank.gov.ua/get-user-certificate/J5325zEvdOfFjeBmOhqe","Завантажити сертифікат")</f>
        <v>Завантажити сертифікат</v>
      </c>
    </row>
    <row r="544" spans="1:6" x14ac:dyDescent="0.3">
      <c r="A544" s="2">
        <v>543</v>
      </c>
      <c r="B544" s="1" t="s">
        <v>1138</v>
      </c>
      <c r="C544" s="1" t="s">
        <v>1109</v>
      </c>
      <c r="D544" s="1" t="s">
        <v>1110</v>
      </c>
      <c r="E544" s="1" t="s">
        <v>1139</v>
      </c>
      <c r="F544" s="1" t="str">
        <f>HYPERLINK("https://talan.bank.gov.ua/get-user-certificate/J53250oVAQTO5pQCXQoS","Завантажити сертифікат")</f>
        <v>Завантажити сертифікат</v>
      </c>
    </row>
    <row r="545" spans="1:6" ht="28.8" x14ac:dyDescent="0.3">
      <c r="A545" s="2">
        <v>544</v>
      </c>
      <c r="B545" s="1" t="s">
        <v>1140</v>
      </c>
      <c r="C545" s="1" t="s">
        <v>1109</v>
      </c>
      <c r="D545" s="1" t="s">
        <v>1110</v>
      </c>
      <c r="E545" s="1" t="s">
        <v>1141</v>
      </c>
      <c r="F545" s="1" t="str">
        <f>HYPERLINK("https://talan.bank.gov.ua/get-user-certificate/J532501-ftGlc2sWflnm","Завантажити сертифікат")</f>
        <v>Завантажити сертифікат</v>
      </c>
    </row>
    <row r="546" spans="1:6" x14ac:dyDescent="0.3">
      <c r="A546" s="2">
        <v>545</v>
      </c>
      <c r="B546" s="1" t="s">
        <v>1142</v>
      </c>
      <c r="C546" s="1" t="s">
        <v>1109</v>
      </c>
      <c r="D546" s="1" t="s">
        <v>1110</v>
      </c>
      <c r="E546" s="1" t="s">
        <v>1143</v>
      </c>
      <c r="F546" s="1" t="str">
        <f>HYPERLINK("https://talan.bank.gov.ua/get-user-certificate/J5325ohbKCCWXA1I1x6b","Завантажити сертифікат")</f>
        <v>Завантажити сертифікат</v>
      </c>
    </row>
    <row r="547" spans="1:6" x14ac:dyDescent="0.3">
      <c r="A547" s="2">
        <v>546</v>
      </c>
      <c r="B547" s="1" t="s">
        <v>1144</v>
      </c>
      <c r="C547" s="1" t="s">
        <v>1109</v>
      </c>
      <c r="D547" s="1" t="s">
        <v>1110</v>
      </c>
      <c r="E547" s="1" t="s">
        <v>1145</v>
      </c>
      <c r="F547" s="1" t="str">
        <f>HYPERLINK("https://talan.bank.gov.ua/get-user-certificate/J5325KEDE4ia57ZFpdHP","Завантажити сертифікат")</f>
        <v>Завантажити сертифікат</v>
      </c>
    </row>
    <row r="548" spans="1:6" x14ac:dyDescent="0.3">
      <c r="A548" s="2">
        <v>547</v>
      </c>
      <c r="B548" s="1" t="s">
        <v>1146</v>
      </c>
      <c r="C548" s="1" t="s">
        <v>1109</v>
      </c>
      <c r="D548" s="1" t="s">
        <v>1110</v>
      </c>
      <c r="E548" s="1" t="s">
        <v>1147</v>
      </c>
      <c r="F548" s="1" t="str">
        <f>HYPERLINK("https://talan.bank.gov.ua/get-user-certificate/J5325hfLMyc2BSxFB_4r","Завантажити сертифікат")</f>
        <v>Завантажити сертифікат</v>
      </c>
    </row>
    <row r="549" spans="1:6" x14ac:dyDescent="0.3">
      <c r="A549" s="2">
        <v>548</v>
      </c>
      <c r="B549" s="1" t="s">
        <v>1148</v>
      </c>
      <c r="C549" s="1" t="s">
        <v>1109</v>
      </c>
      <c r="D549" s="1" t="s">
        <v>1110</v>
      </c>
      <c r="E549" s="1" t="s">
        <v>1149</v>
      </c>
      <c r="F549" s="1" t="str">
        <f>HYPERLINK("https://talan.bank.gov.ua/get-user-certificate/J5325BM4lbxyO03V03FP","Завантажити сертифікат")</f>
        <v>Завантажити сертифікат</v>
      </c>
    </row>
    <row r="550" spans="1:6" x14ac:dyDescent="0.3">
      <c r="A550" s="2">
        <v>549</v>
      </c>
      <c r="B550" s="1" t="s">
        <v>1150</v>
      </c>
      <c r="C550" s="1" t="s">
        <v>1109</v>
      </c>
      <c r="D550" s="1" t="s">
        <v>1110</v>
      </c>
      <c r="E550" s="1" t="s">
        <v>1151</v>
      </c>
      <c r="F550" s="1" t="str">
        <f>HYPERLINK("https://talan.bank.gov.ua/get-user-certificate/J5325o5JAlBhPnrfo3VC","Завантажити сертифікат")</f>
        <v>Завантажити сертифікат</v>
      </c>
    </row>
    <row r="551" spans="1:6" x14ac:dyDescent="0.3">
      <c r="A551" s="2">
        <v>550</v>
      </c>
      <c r="B551" s="1" t="s">
        <v>1152</v>
      </c>
      <c r="C551" s="1" t="s">
        <v>1109</v>
      </c>
      <c r="D551" s="1" t="s">
        <v>1110</v>
      </c>
      <c r="E551" s="1" t="s">
        <v>1153</v>
      </c>
      <c r="F551" s="1" t="str">
        <f>HYPERLINK("https://talan.bank.gov.ua/get-user-certificate/J5325xiOc1X6yMWD_GAx","Завантажити сертифікат")</f>
        <v>Завантажити сертифікат</v>
      </c>
    </row>
    <row r="552" spans="1:6" x14ac:dyDescent="0.3">
      <c r="A552" s="2">
        <v>551</v>
      </c>
      <c r="B552" s="1" t="s">
        <v>1154</v>
      </c>
      <c r="C552" s="1" t="s">
        <v>1109</v>
      </c>
      <c r="D552" s="1" t="s">
        <v>1110</v>
      </c>
      <c r="E552" s="1" t="s">
        <v>1155</v>
      </c>
      <c r="F552" s="1" t="str">
        <f>HYPERLINK("https://talan.bank.gov.ua/get-user-certificate/J53258NbL_XFIEuAruI-","Завантажити сертифікат")</f>
        <v>Завантажити сертифікат</v>
      </c>
    </row>
    <row r="553" spans="1:6" x14ac:dyDescent="0.3">
      <c r="A553" s="2">
        <v>552</v>
      </c>
      <c r="B553" s="1" t="s">
        <v>1156</v>
      </c>
      <c r="C553" s="1" t="s">
        <v>1109</v>
      </c>
      <c r="D553" s="1" t="s">
        <v>1110</v>
      </c>
      <c r="E553" s="1" t="s">
        <v>1157</v>
      </c>
      <c r="F553" s="1" t="str">
        <f>HYPERLINK("https://talan.bank.gov.ua/get-user-certificate/J5325Iu1YtHkGnst5gJW","Завантажити сертифікат")</f>
        <v>Завантажити сертифікат</v>
      </c>
    </row>
    <row r="554" spans="1:6" x14ac:dyDescent="0.3">
      <c r="A554" s="2">
        <v>553</v>
      </c>
      <c r="B554" s="1" t="s">
        <v>1158</v>
      </c>
      <c r="C554" s="1" t="s">
        <v>1109</v>
      </c>
      <c r="D554" s="1" t="s">
        <v>1110</v>
      </c>
      <c r="E554" s="1" t="s">
        <v>1159</v>
      </c>
      <c r="F554" s="1" t="str">
        <f>HYPERLINK("https://talan.bank.gov.ua/get-user-certificate/J5325T3OZvpcl5SHMHPz","Завантажити сертифікат")</f>
        <v>Завантажити сертифікат</v>
      </c>
    </row>
    <row r="555" spans="1:6" x14ac:dyDescent="0.3">
      <c r="A555" s="2">
        <v>554</v>
      </c>
      <c r="B555" s="1" t="s">
        <v>1160</v>
      </c>
      <c r="C555" s="1" t="s">
        <v>1109</v>
      </c>
      <c r="D555" s="1" t="s">
        <v>1110</v>
      </c>
      <c r="E555" s="1" t="s">
        <v>1161</v>
      </c>
      <c r="F555" s="1" t="str">
        <f>HYPERLINK("https://talan.bank.gov.ua/get-user-certificate/J5325YZooyVCtuLXH7CH","Завантажити сертифікат")</f>
        <v>Завантажити сертифікат</v>
      </c>
    </row>
    <row r="556" spans="1:6" x14ac:dyDescent="0.3">
      <c r="A556" s="2">
        <v>555</v>
      </c>
      <c r="B556" s="1" t="s">
        <v>1162</v>
      </c>
      <c r="C556" s="1" t="s">
        <v>1109</v>
      </c>
      <c r="D556" s="1" t="s">
        <v>1110</v>
      </c>
      <c r="E556" s="1" t="s">
        <v>1163</v>
      </c>
      <c r="F556" s="1" t="str">
        <f>HYPERLINK("https://talan.bank.gov.ua/get-user-certificate/J5325k0cLfCz4quStiCf","Завантажити сертифікат")</f>
        <v>Завантажити сертифікат</v>
      </c>
    </row>
    <row r="557" spans="1:6" x14ac:dyDescent="0.3">
      <c r="A557" s="2">
        <v>556</v>
      </c>
      <c r="B557" s="1" t="s">
        <v>1164</v>
      </c>
      <c r="C557" s="1" t="s">
        <v>1109</v>
      </c>
      <c r="D557" s="1" t="s">
        <v>1110</v>
      </c>
      <c r="E557" s="1" t="s">
        <v>1165</v>
      </c>
      <c r="F557" s="1" t="str">
        <f>HYPERLINK("https://talan.bank.gov.ua/get-user-certificate/J5325ab2rVTxelePv73i","Завантажити сертифікат")</f>
        <v>Завантажити сертифікат</v>
      </c>
    </row>
    <row r="558" spans="1:6" x14ac:dyDescent="0.3">
      <c r="A558" s="2">
        <v>557</v>
      </c>
      <c r="B558" s="1" t="s">
        <v>1166</v>
      </c>
      <c r="C558" s="1" t="s">
        <v>1109</v>
      </c>
      <c r="D558" s="1" t="s">
        <v>1110</v>
      </c>
      <c r="E558" s="1" t="s">
        <v>1167</v>
      </c>
      <c r="F558" s="1" t="str">
        <f>HYPERLINK("https://talan.bank.gov.ua/get-user-certificate/J5325NtmIDLOHxJ_uyLR","Завантажити сертифікат")</f>
        <v>Завантажити сертифікат</v>
      </c>
    </row>
    <row r="559" spans="1:6" x14ac:dyDescent="0.3">
      <c r="A559" s="2">
        <v>558</v>
      </c>
      <c r="B559" s="1" t="s">
        <v>1168</v>
      </c>
      <c r="C559" s="1" t="s">
        <v>1109</v>
      </c>
      <c r="D559" s="1" t="s">
        <v>1110</v>
      </c>
      <c r="E559" s="1" t="s">
        <v>1169</v>
      </c>
      <c r="F559" s="1" t="str">
        <f>HYPERLINK("https://talan.bank.gov.ua/get-user-certificate/J5325Mv7TIR03XYrQYTc","Завантажити сертифікат")</f>
        <v>Завантажити сертифікат</v>
      </c>
    </row>
    <row r="560" spans="1:6" x14ac:dyDescent="0.3">
      <c r="A560" s="2">
        <v>559</v>
      </c>
      <c r="B560" s="1" t="s">
        <v>1170</v>
      </c>
      <c r="C560" s="1" t="s">
        <v>1109</v>
      </c>
      <c r="D560" s="1" t="s">
        <v>1110</v>
      </c>
      <c r="E560" s="1" t="s">
        <v>1171</v>
      </c>
      <c r="F560" s="1" t="str">
        <f>HYPERLINK("https://talan.bank.gov.ua/get-user-certificate/J5325GFZ8LcFpAwcSu9X","Завантажити сертифікат")</f>
        <v>Завантажити сертифікат</v>
      </c>
    </row>
    <row r="561" spans="1:6" x14ac:dyDescent="0.3">
      <c r="A561" s="2">
        <v>560</v>
      </c>
      <c r="B561" s="1" t="s">
        <v>1172</v>
      </c>
      <c r="C561" s="1" t="s">
        <v>1109</v>
      </c>
      <c r="D561" s="1" t="s">
        <v>1110</v>
      </c>
      <c r="E561" s="1" t="s">
        <v>1173</v>
      </c>
      <c r="F561" s="1" t="str">
        <f>HYPERLINK("https://talan.bank.gov.ua/get-user-certificate/J5325klYlCsWFfdFYj9x","Завантажити сертифікат")</f>
        <v>Завантажити сертифікат</v>
      </c>
    </row>
    <row r="562" spans="1:6" x14ac:dyDescent="0.3">
      <c r="A562" s="2">
        <v>561</v>
      </c>
      <c r="B562" s="1" t="s">
        <v>1174</v>
      </c>
      <c r="C562" s="1" t="s">
        <v>1109</v>
      </c>
      <c r="D562" s="1" t="s">
        <v>1110</v>
      </c>
      <c r="E562" s="1" t="s">
        <v>1175</v>
      </c>
      <c r="F562" s="1" t="str">
        <f>HYPERLINK("https://talan.bank.gov.ua/get-user-certificate/J5325WpDe6IWGQIAwYu7","Завантажити сертифікат")</f>
        <v>Завантажити сертифікат</v>
      </c>
    </row>
    <row r="563" spans="1:6" x14ac:dyDescent="0.3">
      <c r="A563" s="2">
        <v>562</v>
      </c>
      <c r="B563" s="1" t="s">
        <v>1176</v>
      </c>
      <c r="C563" s="1" t="s">
        <v>1109</v>
      </c>
      <c r="D563" s="1" t="s">
        <v>1110</v>
      </c>
      <c r="E563" s="1" t="s">
        <v>1177</v>
      </c>
      <c r="F563" s="1" t="str">
        <f>HYPERLINK("https://talan.bank.gov.ua/get-user-certificate/J5325kocXqBP3cCpEmDF","Завантажити сертифікат")</f>
        <v>Завантажити сертифікат</v>
      </c>
    </row>
    <row r="564" spans="1:6" x14ac:dyDescent="0.3">
      <c r="A564" s="2">
        <v>563</v>
      </c>
      <c r="B564" s="1" t="s">
        <v>1178</v>
      </c>
      <c r="C564" s="1" t="s">
        <v>1109</v>
      </c>
      <c r="D564" s="1" t="s">
        <v>1110</v>
      </c>
      <c r="E564" s="1" t="s">
        <v>1179</v>
      </c>
      <c r="F564" s="1" t="str">
        <f>HYPERLINK("https://talan.bank.gov.ua/get-user-certificate/J5325uG_lJeO9Zm3Xzjf","Завантажити сертифікат")</f>
        <v>Завантажити сертифікат</v>
      </c>
    </row>
    <row r="565" spans="1:6" x14ac:dyDescent="0.3">
      <c r="A565" s="2">
        <v>564</v>
      </c>
      <c r="B565" s="1" t="s">
        <v>1180</v>
      </c>
      <c r="C565" s="1" t="s">
        <v>1109</v>
      </c>
      <c r="D565" s="1" t="s">
        <v>1110</v>
      </c>
      <c r="E565" s="1" t="s">
        <v>1181</v>
      </c>
      <c r="F565" s="1" t="str">
        <f>HYPERLINK("https://talan.bank.gov.ua/get-user-certificate/J53255f4Gmo1FcPxZ1E8","Завантажити сертифікат")</f>
        <v>Завантажити сертифікат</v>
      </c>
    </row>
    <row r="566" spans="1:6" x14ac:dyDescent="0.3">
      <c r="A566" s="2">
        <v>565</v>
      </c>
      <c r="B566" s="1" t="s">
        <v>1182</v>
      </c>
      <c r="C566" s="1" t="s">
        <v>1109</v>
      </c>
      <c r="D566" s="1" t="s">
        <v>1110</v>
      </c>
      <c r="E566" s="1" t="s">
        <v>1183</v>
      </c>
      <c r="F566" s="1" t="str">
        <f>HYPERLINK("https://talan.bank.gov.ua/get-user-certificate/J5325nuIDKOSaV1_rIY3","Завантажити сертифікат")</f>
        <v>Завантажити сертифікат</v>
      </c>
    </row>
    <row r="567" spans="1:6" x14ac:dyDescent="0.3">
      <c r="A567" s="2">
        <v>566</v>
      </c>
      <c r="B567" s="1" t="s">
        <v>1184</v>
      </c>
      <c r="C567" s="1" t="s">
        <v>1109</v>
      </c>
      <c r="D567" s="1" t="s">
        <v>1110</v>
      </c>
      <c r="E567" s="1" t="s">
        <v>1185</v>
      </c>
      <c r="F567" s="1" t="str">
        <f>HYPERLINK("https://talan.bank.gov.ua/get-user-certificate/J5325k3YD07ZgG27oxVt","Завантажити сертифікат")</f>
        <v>Завантажити сертифікат</v>
      </c>
    </row>
    <row r="568" spans="1:6" x14ac:dyDescent="0.3">
      <c r="A568" s="2">
        <v>567</v>
      </c>
      <c r="B568" s="1" t="s">
        <v>1186</v>
      </c>
      <c r="C568" s="1" t="s">
        <v>1109</v>
      </c>
      <c r="D568" s="1" t="s">
        <v>1110</v>
      </c>
      <c r="E568" s="1" t="s">
        <v>1187</v>
      </c>
      <c r="F568" s="1" t="str">
        <f>HYPERLINK("https://talan.bank.gov.ua/get-user-certificate/J53251jpe8Ijn9gKm5e1","Завантажити сертифікат")</f>
        <v>Завантажити сертифікат</v>
      </c>
    </row>
    <row r="569" spans="1:6" x14ac:dyDescent="0.3">
      <c r="A569" s="2">
        <v>568</v>
      </c>
      <c r="B569" s="1" t="s">
        <v>1188</v>
      </c>
      <c r="C569" s="1" t="s">
        <v>1109</v>
      </c>
      <c r="D569" s="1" t="s">
        <v>1110</v>
      </c>
      <c r="E569" s="1" t="s">
        <v>1189</v>
      </c>
      <c r="F569" s="1" t="str">
        <f>HYPERLINK("https://talan.bank.gov.ua/get-user-certificate/J5325oCHBsw6UJ1_7T4c","Завантажити сертифікат")</f>
        <v>Завантажити сертифікат</v>
      </c>
    </row>
    <row r="570" spans="1:6" x14ac:dyDescent="0.3">
      <c r="A570" s="2">
        <v>569</v>
      </c>
      <c r="B570" s="1" t="s">
        <v>1190</v>
      </c>
      <c r="C570" s="1" t="s">
        <v>1109</v>
      </c>
      <c r="D570" s="1" t="s">
        <v>1110</v>
      </c>
      <c r="E570" s="1" t="s">
        <v>1191</v>
      </c>
      <c r="F570" s="1" t="str">
        <f>HYPERLINK("https://talan.bank.gov.ua/get-user-certificate/J5325n4rqprZmJB2cpr7","Завантажити сертифікат")</f>
        <v>Завантажити сертифікат</v>
      </c>
    </row>
    <row r="571" spans="1:6" x14ac:dyDescent="0.3">
      <c r="A571" s="2">
        <v>570</v>
      </c>
      <c r="B571" s="1" t="s">
        <v>1192</v>
      </c>
      <c r="C571" s="1" t="s">
        <v>1109</v>
      </c>
      <c r="D571" s="1" t="s">
        <v>1110</v>
      </c>
      <c r="E571" s="1" t="s">
        <v>1193</v>
      </c>
      <c r="F571" s="1" t="str">
        <f>HYPERLINK("https://talan.bank.gov.ua/get-user-certificate/J5325UULD1PhYn4ykHaT","Завантажити сертифікат")</f>
        <v>Завантажити сертифікат</v>
      </c>
    </row>
    <row r="572" spans="1:6" x14ac:dyDescent="0.3">
      <c r="A572" s="2">
        <v>571</v>
      </c>
      <c r="B572" s="1" t="s">
        <v>1194</v>
      </c>
      <c r="C572" s="1" t="s">
        <v>1109</v>
      </c>
      <c r="D572" s="1" t="s">
        <v>1110</v>
      </c>
      <c r="E572" s="1" t="s">
        <v>1195</v>
      </c>
      <c r="F572" s="1" t="str">
        <f>HYPERLINK("https://talan.bank.gov.ua/get-user-certificate/J5325xvIpVn8Tdgc0c5d","Завантажити сертифікат")</f>
        <v>Завантажити сертифікат</v>
      </c>
    </row>
    <row r="573" spans="1:6" x14ac:dyDescent="0.3">
      <c r="A573" s="2">
        <v>572</v>
      </c>
      <c r="B573" s="1" t="s">
        <v>1196</v>
      </c>
      <c r="C573" s="1" t="s">
        <v>1109</v>
      </c>
      <c r="D573" s="1" t="s">
        <v>1110</v>
      </c>
      <c r="E573" s="1" t="s">
        <v>1197</v>
      </c>
      <c r="F573" s="1" t="str">
        <f>HYPERLINK("https://talan.bank.gov.ua/get-user-certificate/J5325fOF8qv5b-eOUWL4","Завантажити сертифікат")</f>
        <v>Завантажити сертифікат</v>
      </c>
    </row>
    <row r="574" spans="1:6" x14ac:dyDescent="0.3">
      <c r="A574" s="2">
        <v>573</v>
      </c>
      <c r="B574" s="1" t="s">
        <v>1198</v>
      </c>
      <c r="C574" s="1" t="s">
        <v>1109</v>
      </c>
      <c r="D574" s="1" t="s">
        <v>1110</v>
      </c>
      <c r="E574" s="1" t="s">
        <v>1199</v>
      </c>
      <c r="F574" s="1" t="str">
        <f>HYPERLINK("https://talan.bank.gov.ua/get-user-certificate/J53251fm-GTLcv--5r-T","Завантажити сертифікат")</f>
        <v>Завантажити сертифікат</v>
      </c>
    </row>
    <row r="575" spans="1:6" x14ac:dyDescent="0.3">
      <c r="A575" s="2">
        <v>574</v>
      </c>
      <c r="B575" s="1" t="s">
        <v>1200</v>
      </c>
      <c r="C575" s="1" t="s">
        <v>1109</v>
      </c>
      <c r="D575" s="1" t="s">
        <v>1110</v>
      </c>
      <c r="E575" s="1" t="s">
        <v>1201</v>
      </c>
      <c r="F575" s="1" t="str">
        <f>HYPERLINK("https://talan.bank.gov.ua/get-user-certificate/J5325_MXav764oVbOKY1","Завантажити сертифікат")</f>
        <v>Завантажити сертифікат</v>
      </c>
    </row>
    <row r="576" spans="1:6" x14ac:dyDescent="0.3">
      <c r="A576" s="2">
        <v>575</v>
      </c>
      <c r="B576" s="1" t="s">
        <v>1202</v>
      </c>
      <c r="C576" s="1" t="s">
        <v>1109</v>
      </c>
      <c r="D576" s="1" t="s">
        <v>1110</v>
      </c>
      <c r="E576" s="1" t="s">
        <v>1203</v>
      </c>
      <c r="F576" s="1" t="str">
        <f>HYPERLINK("https://talan.bank.gov.ua/get-user-certificate/J5325wmHsd9WVdVzTqi3","Завантажити сертифікат")</f>
        <v>Завантажити сертифікат</v>
      </c>
    </row>
    <row r="577" spans="1:6" x14ac:dyDescent="0.3">
      <c r="A577" s="2">
        <v>576</v>
      </c>
      <c r="B577" s="1" t="s">
        <v>1204</v>
      </c>
      <c r="C577" s="1" t="s">
        <v>1109</v>
      </c>
      <c r="D577" s="1" t="s">
        <v>1110</v>
      </c>
      <c r="E577" s="1" t="s">
        <v>1205</v>
      </c>
      <c r="F577" s="1" t="str">
        <f>HYPERLINK("https://talan.bank.gov.ua/get-user-certificate/J53258avEvobGb-u--9J","Завантажити сертифікат")</f>
        <v>Завантажити сертифікат</v>
      </c>
    </row>
    <row r="578" spans="1:6" x14ac:dyDescent="0.3">
      <c r="A578" s="2">
        <v>577</v>
      </c>
      <c r="B578" s="1" t="s">
        <v>1206</v>
      </c>
      <c r="C578" s="1" t="s">
        <v>1109</v>
      </c>
      <c r="D578" s="1" t="s">
        <v>1110</v>
      </c>
      <c r="E578" s="1" t="s">
        <v>1207</v>
      </c>
      <c r="F578" s="1" t="str">
        <f>HYPERLINK("https://talan.bank.gov.ua/get-user-certificate/J5325SS_hhpYcNFYF__L","Завантажити сертифікат")</f>
        <v>Завантажити сертифікат</v>
      </c>
    </row>
    <row r="579" spans="1:6" x14ac:dyDescent="0.3">
      <c r="A579" s="2">
        <v>578</v>
      </c>
      <c r="B579" s="1" t="s">
        <v>1208</v>
      </c>
      <c r="C579" s="1" t="s">
        <v>1109</v>
      </c>
      <c r="D579" s="1" t="s">
        <v>1110</v>
      </c>
      <c r="E579" s="1" t="s">
        <v>1209</v>
      </c>
      <c r="F579" s="1" t="str">
        <f>HYPERLINK("https://talan.bank.gov.ua/get-user-certificate/J5325ExsJEb3vcAPHvmZ","Завантажити сертифікат")</f>
        <v>Завантажити сертифікат</v>
      </c>
    </row>
    <row r="580" spans="1:6" x14ac:dyDescent="0.3">
      <c r="A580" s="2">
        <v>579</v>
      </c>
      <c r="B580" s="1" t="s">
        <v>1210</v>
      </c>
      <c r="C580" s="1" t="s">
        <v>1109</v>
      </c>
      <c r="D580" s="1" t="s">
        <v>1110</v>
      </c>
      <c r="E580" s="1" t="s">
        <v>1211</v>
      </c>
      <c r="F580" s="1" t="str">
        <f>HYPERLINK("https://talan.bank.gov.ua/get-user-certificate/J5325YzDAnfsoghPgClY","Завантажити сертифікат")</f>
        <v>Завантажити сертифікат</v>
      </c>
    </row>
    <row r="581" spans="1:6" x14ac:dyDescent="0.3">
      <c r="A581" s="2">
        <v>580</v>
      </c>
      <c r="B581" s="1" t="s">
        <v>1212</v>
      </c>
      <c r="C581" s="1" t="s">
        <v>1109</v>
      </c>
      <c r="D581" s="1" t="s">
        <v>1110</v>
      </c>
      <c r="E581" s="1" t="s">
        <v>1213</v>
      </c>
      <c r="F581" s="1" t="str">
        <f>HYPERLINK("https://talan.bank.gov.ua/get-user-certificate/J5325gwsbtAkIb3jupip","Завантажити сертифікат")</f>
        <v>Завантажити сертифікат</v>
      </c>
    </row>
    <row r="582" spans="1:6" x14ac:dyDescent="0.3">
      <c r="A582" s="2">
        <v>581</v>
      </c>
      <c r="B582" s="1" t="s">
        <v>1214</v>
      </c>
      <c r="C582" s="1" t="s">
        <v>1109</v>
      </c>
      <c r="D582" s="1" t="s">
        <v>1110</v>
      </c>
      <c r="E582" s="1" t="s">
        <v>1215</v>
      </c>
      <c r="F582" s="1" t="str">
        <f>HYPERLINK("https://talan.bank.gov.ua/get-user-certificate/J5325boJHFA9etHmRvvj","Завантажити сертифікат")</f>
        <v>Завантажити сертифікат</v>
      </c>
    </row>
    <row r="583" spans="1:6" x14ac:dyDescent="0.3">
      <c r="A583" s="2">
        <v>582</v>
      </c>
      <c r="B583" s="1" t="s">
        <v>1216</v>
      </c>
      <c r="C583" s="1" t="s">
        <v>1109</v>
      </c>
      <c r="D583" s="1" t="s">
        <v>1110</v>
      </c>
      <c r="E583" s="1" t="s">
        <v>1217</v>
      </c>
      <c r="F583" s="1" t="str">
        <f>HYPERLINK("https://talan.bank.gov.ua/get-user-certificate/J5325qI34rxynKN7f3zj","Завантажити сертифікат")</f>
        <v>Завантажити сертифікат</v>
      </c>
    </row>
    <row r="584" spans="1:6" x14ac:dyDescent="0.3">
      <c r="A584" s="2">
        <v>583</v>
      </c>
      <c r="B584" s="1" t="s">
        <v>1218</v>
      </c>
      <c r="C584" s="1" t="s">
        <v>1109</v>
      </c>
      <c r="D584" s="1" t="s">
        <v>1110</v>
      </c>
      <c r="E584" s="1" t="s">
        <v>1219</v>
      </c>
      <c r="F584" s="1" t="str">
        <f>HYPERLINK("https://talan.bank.gov.ua/get-user-certificate/J5325t5bmz5gpIYvuKdD","Завантажити сертифікат")</f>
        <v>Завантажити сертифікат</v>
      </c>
    </row>
    <row r="585" spans="1:6" x14ac:dyDescent="0.3">
      <c r="A585" s="2">
        <v>584</v>
      </c>
      <c r="B585" s="1" t="s">
        <v>1220</v>
      </c>
      <c r="C585" s="1" t="s">
        <v>1109</v>
      </c>
      <c r="D585" s="1" t="s">
        <v>1110</v>
      </c>
      <c r="E585" s="1" t="s">
        <v>1221</v>
      </c>
      <c r="F585" s="1" t="str">
        <f>HYPERLINK("https://talan.bank.gov.ua/get-user-certificate/J5325_rq4NAe-w9A6yop","Завантажити сертифікат")</f>
        <v>Завантажити сертифікат</v>
      </c>
    </row>
    <row r="586" spans="1:6" x14ac:dyDescent="0.3">
      <c r="A586" s="2">
        <v>585</v>
      </c>
      <c r="B586" s="1" t="s">
        <v>1222</v>
      </c>
      <c r="C586" s="1" t="s">
        <v>1109</v>
      </c>
      <c r="D586" s="1" t="s">
        <v>1110</v>
      </c>
      <c r="E586" s="1" t="s">
        <v>1223</v>
      </c>
      <c r="F586" s="1" t="str">
        <f>HYPERLINK("https://talan.bank.gov.ua/get-user-certificate/J5325ZEF9HLUSwx9_NwE","Завантажити сертифікат")</f>
        <v>Завантажити сертифікат</v>
      </c>
    </row>
    <row r="587" spans="1:6" x14ac:dyDescent="0.3">
      <c r="A587" s="2">
        <v>586</v>
      </c>
      <c r="B587" s="1" t="s">
        <v>1224</v>
      </c>
      <c r="C587" s="1" t="s">
        <v>1109</v>
      </c>
      <c r="D587" s="1" t="s">
        <v>1110</v>
      </c>
      <c r="E587" s="1" t="s">
        <v>1225</v>
      </c>
      <c r="F587" s="1" t="str">
        <f>HYPERLINK("https://talan.bank.gov.ua/get-user-certificate/J5325YfbJ9gy0ByjU9pB","Завантажити сертифікат")</f>
        <v>Завантажити сертифікат</v>
      </c>
    </row>
    <row r="588" spans="1:6" x14ac:dyDescent="0.3">
      <c r="A588" s="2">
        <v>587</v>
      </c>
      <c r="B588" s="1" t="s">
        <v>1226</v>
      </c>
      <c r="C588" s="1" t="s">
        <v>1109</v>
      </c>
      <c r="D588" s="1" t="s">
        <v>1110</v>
      </c>
      <c r="E588" s="1" t="s">
        <v>1227</v>
      </c>
      <c r="F588" s="1" t="str">
        <f>HYPERLINK("https://talan.bank.gov.ua/get-user-certificate/J5325mcYaCOztOeGnBTe","Завантажити сертифікат")</f>
        <v>Завантажити сертифікат</v>
      </c>
    </row>
    <row r="589" spans="1:6" x14ac:dyDescent="0.3">
      <c r="A589" s="2">
        <v>588</v>
      </c>
      <c r="B589" s="1" t="s">
        <v>1228</v>
      </c>
      <c r="C589" s="1" t="s">
        <v>1109</v>
      </c>
      <c r="D589" s="1" t="s">
        <v>1110</v>
      </c>
      <c r="E589" s="1" t="s">
        <v>1229</v>
      </c>
      <c r="F589" s="1" t="str">
        <f>HYPERLINK("https://talan.bank.gov.ua/get-user-certificate/J5325Z3FQW0TsD-IT5CR","Завантажити сертифікат")</f>
        <v>Завантажити сертифікат</v>
      </c>
    </row>
    <row r="590" spans="1:6" ht="28.8" x14ac:dyDescent="0.3">
      <c r="A590" s="2">
        <v>589</v>
      </c>
      <c r="B590" s="1" t="s">
        <v>1230</v>
      </c>
      <c r="C590" s="1" t="s">
        <v>1109</v>
      </c>
      <c r="D590" s="1" t="s">
        <v>1110</v>
      </c>
      <c r="E590" s="1" t="s">
        <v>1231</v>
      </c>
      <c r="F590" s="1" t="str">
        <f>HYPERLINK("https://talan.bank.gov.ua/get-user-certificate/J5325m5PvGRiyu-K1m42","Завантажити сертифікат")</f>
        <v>Завантажити сертифікат</v>
      </c>
    </row>
    <row r="591" spans="1:6" x14ac:dyDescent="0.3">
      <c r="A591" s="2">
        <v>590</v>
      </c>
      <c r="B591" s="1" t="s">
        <v>1232</v>
      </c>
      <c r="C591" s="1" t="s">
        <v>1109</v>
      </c>
      <c r="D591" s="1" t="s">
        <v>1110</v>
      </c>
      <c r="E591" s="1" t="s">
        <v>1233</v>
      </c>
      <c r="F591" s="1" t="str">
        <f>HYPERLINK("https://talan.bank.gov.ua/get-user-certificate/J5325SJzfWpj83V5f-_g","Завантажити сертифікат")</f>
        <v>Завантажити сертифікат</v>
      </c>
    </row>
    <row r="592" spans="1:6" x14ac:dyDescent="0.3">
      <c r="A592" s="2">
        <v>591</v>
      </c>
      <c r="B592" s="1" t="s">
        <v>1234</v>
      </c>
      <c r="C592" s="1" t="s">
        <v>1109</v>
      </c>
      <c r="D592" s="1" t="s">
        <v>1110</v>
      </c>
      <c r="E592" s="1" t="s">
        <v>1235</v>
      </c>
      <c r="F592" s="1" t="str">
        <f>HYPERLINK("https://talan.bank.gov.ua/get-user-certificate/J5325dchYtOLRWlHR7rF","Завантажити сертифікат")</f>
        <v>Завантажити сертифікат</v>
      </c>
    </row>
    <row r="593" spans="1:6" x14ac:dyDescent="0.3">
      <c r="A593" s="2">
        <v>592</v>
      </c>
      <c r="B593" s="1" t="s">
        <v>1236</v>
      </c>
      <c r="C593" s="1" t="s">
        <v>1109</v>
      </c>
      <c r="D593" s="1" t="s">
        <v>1110</v>
      </c>
      <c r="E593" s="1" t="s">
        <v>1237</v>
      </c>
      <c r="F593" s="1" t="str">
        <f>HYPERLINK("https://talan.bank.gov.ua/get-user-certificate/J5325FaH43F1VOPi12Kt","Завантажити сертифікат")</f>
        <v>Завантажити сертифікат</v>
      </c>
    </row>
    <row r="594" spans="1:6" x14ac:dyDescent="0.3">
      <c r="A594" s="2">
        <v>593</v>
      </c>
      <c r="B594" s="1" t="s">
        <v>1238</v>
      </c>
      <c r="C594" s="1" t="s">
        <v>1109</v>
      </c>
      <c r="D594" s="1" t="s">
        <v>1110</v>
      </c>
      <c r="E594" s="1" t="s">
        <v>1239</v>
      </c>
      <c r="F594" s="1" t="str">
        <f>HYPERLINK("https://talan.bank.gov.ua/get-user-certificate/J5325YvN8L1J4dzgGl2Z","Завантажити сертифікат")</f>
        <v>Завантажити сертифікат</v>
      </c>
    </row>
    <row r="595" spans="1:6" x14ac:dyDescent="0.3">
      <c r="A595" s="2">
        <v>594</v>
      </c>
      <c r="B595" s="1" t="s">
        <v>1240</v>
      </c>
      <c r="C595" s="1" t="s">
        <v>1109</v>
      </c>
      <c r="D595" s="1" t="s">
        <v>1110</v>
      </c>
      <c r="E595" s="1" t="s">
        <v>1241</v>
      </c>
      <c r="F595" s="1" t="str">
        <f>HYPERLINK("https://talan.bank.gov.ua/get-user-certificate/J5325aehLMZidDSEA3Gh","Завантажити сертифікат")</f>
        <v>Завантажити сертифікат</v>
      </c>
    </row>
    <row r="596" spans="1:6" x14ac:dyDescent="0.3">
      <c r="A596" s="2">
        <v>595</v>
      </c>
      <c r="B596" s="1" t="s">
        <v>1242</v>
      </c>
      <c r="C596" s="1" t="s">
        <v>1109</v>
      </c>
      <c r="D596" s="1" t="s">
        <v>1110</v>
      </c>
      <c r="E596" s="1" t="s">
        <v>1243</v>
      </c>
      <c r="F596" s="1" t="str">
        <f>HYPERLINK("https://talan.bank.gov.ua/get-user-certificate/J5325QzdkNUfld3bpkpt","Завантажити сертифікат")</f>
        <v>Завантажити сертифікат</v>
      </c>
    </row>
    <row r="597" spans="1:6" x14ac:dyDescent="0.3">
      <c r="A597" s="2">
        <v>596</v>
      </c>
      <c r="B597" s="1" t="s">
        <v>1244</v>
      </c>
      <c r="C597" s="1" t="s">
        <v>1109</v>
      </c>
      <c r="D597" s="1" t="s">
        <v>1110</v>
      </c>
      <c r="E597" s="1" t="s">
        <v>1245</v>
      </c>
      <c r="F597" s="1" t="str">
        <f>HYPERLINK("https://talan.bank.gov.ua/get-user-certificate/J5325CNJhD38_Gjo7LRS","Завантажити сертифікат")</f>
        <v>Завантажити сертифікат</v>
      </c>
    </row>
    <row r="598" spans="1:6" x14ac:dyDescent="0.3">
      <c r="A598" s="2">
        <v>597</v>
      </c>
      <c r="B598" s="1" t="s">
        <v>1246</v>
      </c>
      <c r="C598" s="1" t="s">
        <v>1109</v>
      </c>
      <c r="D598" s="1" t="s">
        <v>1110</v>
      </c>
      <c r="E598" s="1" t="s">
        <v>1247</v>
      </c>
      <c r="F598" s="1" t="str">
        <f>HYPERLINK("https://talan.bank.gov.ua/get-user-certificate/J5325Qxxi9M6oUo81sWj","Завантажити сертифікат")</f>
        <v>Завантажити сертифікат</v>
      </c>
    </row>
    <row r="599" spans="1:6" x14ac:dyDescent="0.3">
      <c r="A599" s="2">
        <v>598</v>
      </c>
      <c r="B599" s="1" t="s">
        <v>1248</v>
      </c>
      <c r="C599" s="1" t="s">
        <v>1109</v>
      </c>
      <c r="D599" s="1" t="s">
        <v>1110</v>
      </c>
      <c r="E599" s="1" t="s">
        <v>1249</v>
      </c>
      <c r="F599" s="1" t="str">
        <f>HYPERLINK("https://talan.bank.gov.ua/get-user-certificate/J5325evU8ZBmInQR2KYl","Завантажити сертифікат")</f>
        <v>Завантажити сертифікат</v>
      </c>
    </row>
    <row r="600" spans="1:6" x14ac:dyDescent="0.3">
      <c r="A600" s="2">
        <v>599</v>
      </c>
      <c r="B600" s="1" t="s">
        <v>1250</v>
      </c>
      <c r="C600" s="1" t="s">
        <v>1109</v>
      </c>
      <c r="D600" s="1" t="s">
        <v>1110</v>
      </c>
      <c r="E600" s="1" t="s">
        <v>1251</v>
      </c>
      <c r="F600" s="1" t="str">
        <f>HYPERLINK("https://talan.bank.gov.ua/get-user-certificate/J5325SuluKuTSQuNvBhM","Завантажити сертифікат")</f>
        <v>Завантажити сертифікат</v>
      </c>
    </row>
    <row r="601" spans="1:6" x14ac:dyDescent="0.3">
      <c r="A601" s="2">
        <v>600</v>
      </c>
      <c r="B601" s="1" t="s">
        <v>1252</v>
      </c>
      <c r="C601" s="1" t="s">
        <v>1109</v>
      </c>
      <c r="D601" s="1" t="s">
        <v>1110</v>
      </c>
      <c r="E601" s="1" t="s">
        <v>1253</v>
      </c>
      <c r="F601" s="1" t="str">
        <f>HYPERLINK("https://talan.bank.gov.ua/get-user-certificate/J5325HRktp-jEgTjcedr","Завантажити сертифікат")</f>
        <v>Завантажити сертифікат</v>
      </c>
    </row>
    <row r="602" spans="1:6" x14ac:dyDescent="0.3">
      <c r="A602" s="2">
        <v>601</v>
      </c>
      <c r="B602" s="1" t="s">
        <v>1254</v>
      </c>
      <c r="C602" s="1" t="s">
        <v>1109</v>
      </c>
      <c r="D602" s="1" t="s">
        <v>1110</v>
      </c>
      <c r="E602" s="1" t="s">
        <v>1255</v>
      </c>
      <c r="F602" s="1" t="str">
        <f>HYPERLINK("https://talan.bank.gov.ua/get-user-certificate/J5325Vl_MoCkTd0ic1ko","Завантажити сертифікат")</f>
        <v>Завантажити сертифікат</v>
      </c>
    </row>
    <row r="603" spans="1:6" x14ac:dyDescent="0.3">
      <c r="A603" s="2">
        <v>602</v>
      </c>
      <c r="B603" s="1" t="s">
        <v>1256</v>
      </c>
      <c r="C603" s="1" t="s">
        <v>1109</v>
      </c>
      <c r="D603" s="1" t="s">
        <v>1110</v>
      </c>
      <c r="E603" s="1" t="s">
        <v>1257</v>
      </c>
      <c r="F603" s="1" t="str">
        <f>HYPERLINK("https://talan.bank.gov.ua/get-user-certificate/J53253N6-UEfwQ-UyCcg","Завантажити сертифікат")</f>
        <v>Завантажити сертифікат</v>
      </c>
    </row>
    <row r="604" spans="1:6" x14ac:dyDescent="0.3">
      <c r="A604" s="2">
        <v>603</v>
      </c>
      <c r="B604" s="1" t="s">
        <v>1258</v>
      </c>
      <c r="C604" s="1" t="s">
        <v>1109</v>
      </c>
      <c r="D604" s="1" t="s">
        <v>1110</v>
      </c>
      <c r="E604" s="1" t="s">
        <v>1259</v>
      </c>
      <c r="F604" s="1" t="str">
        <f>HYPERLINK("https://talan.bank.gov.ua/get-user-certificate/J5325cm4--FdqomSE3MV","Завантажити сертифікат")</f>
        <v>Завантажити сертифікат</v>
      </c>
    </row>
    <row r="605" spans="1:6" x14ac:dyDescent="0.3">
      <c r="A605" s="2">
        <v>604</v>
      </c>
      <c r="B605" s="1" t="s">
        <v>1260</v>
      </c>
      <c r="C605" s="1" t="s">
        <v>1109</v>
      </c>
      <c r="D605" s="1" t="s">
        <v>1110</v>
      </c>
      <c r="E605" s="1" t="s">
        <v>1261</v>
      </c>
      <c r="F605" s="1" t="str">
        <f>HYPERLINK("https://talan.bank.gov.ua/get-user-certificate/J5325qQ81kcm3oyh3S0Y","Завантажити сертифікат")</f>
        <v>Завантажити сертифікат</v>
      </c>
    </row>
    <row r="606" spans="1:6" x14ac:dyDescent="0.3">
      <c r="A606" s="2">
        <v>605</v>
      </c>
      <c r="B606" s="1" t="s">
        <v>1262</v>
      </c>
      <c r="C606" s="1" t="s">
        <v>1109</v>
      </c>
      <c r="D606" s="1" t="s">
        <v>1110</v>
      </c>
      <c r="E606" s="1" t="s">
        <v>1263</v>
      </c>
      <c r="F606" s="1" t="str">
        <f>HYPERLINK("https://talan.bank.gov.ua/get-user-certificate/J5325mfEBVb2m14RgQiH","Завантажити сертифікат")</f>
        <v>Завантажити сертифікат</v>
      </c>
    </row>
    <row r="607" spans="1:6" x14ac:dyDescent="0.3">
      <c r="A607" s="2">
        <v>606</v>
      </c>
      <c r="B607" s="1" t="s">
        <v>1264</v>
      </c>
      <c r="C607" s="1" t="s">
        <v>1109</v>
      </c>
      <c r="D607" s="1" t="s">
        <v>1110</v>
      </c>
      <c r="E607" s="1" t="s">
        <v>1265</v>
      </c>
      <c r="F607" s="1" t="str">
        <f>HYPERLINK("https://talan.bank.gov.ua/get-user-certificate/J5325efOcRCzU3KsyPQq","Завантажити сертифікат")</f>
        <v>Завантажити сертифікат</v>
      </c>
    </row>
    <row r="608" spans="1:6" x14ac:dyDescent="0.3">
      <c r="A608" s="2">
        <v>607</v>
      </c>
      <c r="B608" s="1" t="s">
        <v>1266</v>
      </c>
      <c r="C608" s="1" t="s">
        <v>1109</v>
      </c>
      <c r="D608" s="1" t="s">
        <v>1110</v>
      </c>
      <c r="E608" s="1" t="s">
        <v>1267</v>
      </c>
      <c r="F608" s="1" t="str">
        <f>HYPERLINK("https://talan.bank.gov.ua/get-user-certificate/J5325p-2CvuLcL4sWTOL","Завантажити сертифікат")</f>
        <v>Завантажити сертифікат</v>
      </c>
    </row>
    <row r="609" spans="1:6" x14ac:dyDescent="0.3">
      <c r="A609" s="2">
        <v>608</v>
      </c>
      <c r="B609" s="1" t="s">
        <v>1268</v>
      </c>
      <c r="C609" s="1" t="s">
        <v>1109</v>
      </c>
      <c r="D609" s="1" t="s">
        <v>1110</v>
      </c>
      <c r="E609" s="1" t="s">
        <v>1269</v>
      </c>
      <c r="F609" s="1" t="str">
        <f>HYPERLINK("https://talan.bank.gov.ua/get-user-certificate/J53257zpk25aAR8ARGif","Завантажити сертифікат")</f>
        <v>Завантажити сертифікат</v>
      </c>
    </row>
    <row r="610" spans="1:6" x14ac:dyDescent="0.3">
      <c r="A610" s="2">
        <v>609</v>
      </c>
      <c r="B610" s="1" t="s">
        <v>1270</v>
      </c>
      <c r="C610" s="1" t="s">
        <v>1109</v>
      </c>
      <c r="D610" s="1" t="s">
        <v>1110</v>
      </c>
      <c r="E610" s="1" t="s">
        <v>1271</v>
      </c>
      <c r="F610" s="1" t="str">
        <f>HYPERLINK("https://talan.bank.gov.ua/get-user-certificate/J5325SVSO39O5AowWVXp","Завантажити сертифікат")</f>
        <v>Завантажити сертифікат</v>
      </c>
    </row>
    <row r="611" spans="1:6" x14ac:dyDescent="0.3">
      <c r="A611" s="2">
        <v>610</v>
      </c>
      <c r="B611" s="1" t="s">
        <v>1272</v>
      </c>
      <c r="C611" s="1" t="s">
        <v>1109</v>
      </c>
      <c r="D611" s="1" t="s">
        <v>1110</v>
      </c>
      <c r="E611" s="1" t="s">
        <v>1273</v>
      </c>
      <c r="F611" s="1" t="str">
        <f>HYPERLINK("https://talan.bank.gov.ua/get-user-certificate/J5325LTyyZ1a5hfjInz8","Завантажити сертифікат")</f>
        <v>Завантажити сертифікат</v>
      </c>
    </row>
    <row r="612" spans="1:6" x14ac:dyDescent="0.3">
      <c r="A612" s="2">
        <v>611</v>
      </c>
      <c r="B612" s="1" t="s">
        <v>1274</v>
      </c>
      <c r="C612" s="1" t="s">
        <v>1109</v>
      </c>
      <c r="D612" s="1" t="s">
        <v>1110</v>
      </c>
      <c r="E612" s="1" t="s">
        <v>1275</v>
      </c>
      <c r="F612" s="1" t="str">
        <f>HYPERLINK("https://talan.bank.gov.ua/get-user-certificate/J5325ul5CJG73hnIF-bX","Завантажити сертифікат")</f>
        <v>Завантажити сертифікат</v>
      </c>
    </row>
    <row r="613" spans="1:6" x14ac:dyDescent="0.3">
      <c r="A613" s="2">
        <v>612</v>
      </c>
      <c r="B613" s="1" t="s">
        <v>1276</v>
      </c>
      <c r="C613" s="1" t="s">
        <v>1109</v>
      </c>
      <c r="D613" s="1" t="s">
        <v>1110</v>
      </c>
      <c r="E613" s="1" t="s">
        <v>1277</v>
      </c>
      <c r="F613" s="1" t="str">
        <f>HYPERLINK("https://talan.bank.gov.ua/get-user-certificate/J53251Ja06YAEja_s_H8","Завантажити сертифікат")</f>
        <v>Завантажити сертифікат</v>
      </c>
    </row>
    <row r="614" spans="1:6" x14ac:dyDescent="0.3">
      <c r="A614" s="2">
        <v>613</v>
      </c>
      <c r="B614" s="1" t="s">
        <v>1278</v>
      </c>
      <c r="C614" s="1" t="s">
        <v>1109</v>
      </c>
      <c r="D614" s="1" t="s">
        <v>1110</v>
      </c>
      <c r="E614" s="1" t="s">
        <v>1279</v>
      </c>
      <c r="F614" s="1" t="str">
        <f>HYPERLINK("https://talan.bank.gov.ua/get-user-certificate/J53258TWBBE-AJ9Hj91O","Завантажити сертифікат")</f>
        <v>Завантажити сертифікат</v>
      </c>
    </row>
    <row r="615" spans="1:6" x14ac:dyDescent="0.3">
      <c r="A615" s="2">
        <v>614</v>
      </c>
      <c r="B615" s="1" t="s">
        <v>1280</v>
      </c>
      <c r="C615" s="1" t="s">
        <v>1109</v>
      </c>
      <c r="D615" s="1" t="s">
        <v>1110</v>
      </c>
      <c r="E615" s="1" t="s">
        <v>1281</v>
      </c>
      <c r="F615" s="1" t="str">
        <f>HYPERLINK("https://talan.bank.gov.ua/get-user-certificate/J5325eh9uvmFzFQAnOs1","Завантажити сертифікат")</f>
        <v>Завантажити сертифікат</v>
      </c>
    </row>
    <row r="616" spans="1:6" x14ac:dyDescent="0.3">
      <c r="A616" s="2">
        <v>615</v>
      </c>
      <c r="B616" s="1" t="s">
        <v>1282</v>
      </c>
      <c r="C616" s="1" t="s">
        <v>1109</v>
      </c>
      <c r="D616" s="1" t="s">
        <v>1110</v>
      </c>
      <c r="E616" s="1" t="s">
        <v>1283</v>
      </c>
      <c r="F616" s="1" t="str">
        <f>HYPERLINK("https://talan.bank.gov.ua/get-user-certificate/J5325xH8GZlnzRmf3Sp-","Завантажити сертифікат")</f>
        <v>Завантажити сертифікат</v>
      </c>
    </row>
    <row r="617" spans="1:6" x14ac:dyDescent="0.3">
      <c r="A617" s="2">
        <v>616</v>
      </c>
      <c r="B617" s="1" t="s">
        <v>1284</v>
      </c>
      <c r="C617" s="1" t="s">
        <v>1109</v>
      </c>
      <c r="D617" s="1" t="s">
        <v>1110</v>
      </c>
      <c r="E617" s="1" t="s">
        <v>1285</v>
      </c>
      <c r="F617" s="1" t="str">
        <f>HYPERLINK("https://talan.bank.gov.ua/get-user-certificate/J5325sGtnx2uCuklKVFd","Завантажити сертифікат")</f>
        <v>Завантажити сертифікат</v>
      </c>
    </row>
    <row r="618" spans="1:6" x14ac:dyDescent="0.3">
      <c r="A618" s="2">
        <v>617</v>
      </c>
      <c r="B618" s="1" t="s">
        <v>1286</v>
      </c>
      <c r="C618" s="1" t="s">
        <v>1109</v>
      </c>
      <c r="D618" s="1" t="s">
        <v>1110</v>
      </c>
      <c r="E618" s="1" t="s">
        <v>1287</v>
      </c>
      <c r="F618" s="1" t="str">
        <f>HYPERLINK("https://talan.bank.gov.ua/get-user-certificate/J5325ArQiAyu83_UeTZa","Завантажити сертифікат")</f>
        <v>Завантажити сертифікат</v>
      </c>
    </row>
    <row r="619" spans="1:6" x14ac:dyDescent="0.3">
      <c r="A619" s="2">
        <v>618</v>
      </c>
      <c r="B619" s="1" t="s">
        <v>1288</v>
      </c>
      <c r="C619" s="1" t="s">
        <v>1109</v>
      </c>
      <c r="D619" s="1" t="s">
        <v>1110</v>
      </c>
      <c r="E619" s="1" t="s">
        <v>1289</v>
      </c>
      <c r="F619" s="1" t="str">
        <f>HYPERLINK("https://talan.bank.gov.ua/get-user-certificate/J5325Of7JVsZSSqgewHa","Завантажити сертифікат")</f>
        <v>Завантажити сертифікат</v>
      </c>
    </row>
    <row r="620" spans="1:6" x14ac:dyDescent="0.3">
      <c r="A620" s="2">
        <v>619</v>
      </c>
      <c r="B620" s="1" t="s">
        <v>1290</v>
      </c>
      <c r="C620" s="1" t="s">
        <v>1109</v>
      </c>
      <c r="D620" s="1" t="s">
        <v>1110</v>
      </c>
      <c r="E620" s="1" t="s">
        <v>1291</v>
      </c>
      <c r="F620" s="1" t="str">
        <f>HYPERLINK("https://talan.bank.gov.ua/get-user-certificate/J5325GxcnZ5MRTkdn5Zs","Завантажити сертифікат")</f>
        <v>Завантажити сертифікат</v>
      </c>
    </row>
    <row r="621" spans="1:6" x14ac:dyDescent="0.3">
      <c r="A621" s="2">
        <v>620</v>
      </c>
      <c r="B621" s="1" t="s">
        <v>1292</v>
      </c>
      <c r="C621" s="1" t="s">
        <v>1109</v>
      </c>
      <c r="D621" s="1" t="s">
        <v>1110</v>
      </c>
      <c r="E621" s="1" t="s">
        <v>1293</v>
      </c>
      <c r="F621" s="1" t="str">
        <f>HYPERLINK("https://talan.bank.gov.ua/get-user-certificate/J5325ZrVvvR9ut0P23cU","Завантажити сертифікат")</f>
        <v>Завантажити сертифікат</v>
      </c>
    </row>
    <row r="622" spans="1:6" x14ac:dyDescent="0.3">
      <c r="A622" s="2">
        <v>621</v>
      </c>
      <c r="B622" s="1" t="s">
        <v>1294</v>
      </c>
      <c r="C622" s="1" t="s">
        <v>1109</v>
      </c>
      <c r="D622" s="1" t="s">
        <v>1110</v>
      </c>
      <c r="E622" s="1" t="s">
        <v>1295</v>
      </c>
      <c r="F622" s="1" t="str">
        <f>HYPERLINK("https://talan.bank.gov.ua/get-user-certificate/J5325yjJd1Nexi1Id7Td","Завантажити сертифікат")</f>
        <v>Завантажити сертифікат</v>
      </c>
    </row>
    <row r="623" spans="1:6" x14ac:dyDescent="0.3">
      <c r="A623" s="2">
        <v>622</v>
      </c>
      <c r="B623" s="1" t="s">
        <v>1296</v>
      </c>
      <c r="C623" s="1" t="s">
        <v>1109</v>
      </c>
      <c r="D623" s="1" t="s">
        <v>1110</v>
      </c>
      <c r="E623" s="1" t="s">
        <v>1297</v>
      </c>
      <c r="F623" s="1" t="str">
        <f>HYPERLINK("https://talan.bank.gov.ua/get-user-certificate/J5325usDzJ39y_uWo32L","Завантажити сертифікат")</f>
        <v>Завантажити сертифікат</v>
      </c>
    </row>
    <row r="624" spans="1:6" x14ac:dyDescent="0.3">
      <c r="A624" s="2">
        <v>623</v>
      </c>
      <c r="B624" s="1" t="s">
        <v>1298</v>
      </c>
      <c r="C624" s="1" t="s">
        <v>1109</v>
      </c>
      <c r="D624" s="1" t="s">
        <v>1110</v>
      </c>
      <c r="E624" s="1" t="s">
        <v>1299</v>
      </c>
      <c r="F624" s="1" t="str">
        <f>HYPERLINK("https://talan.bank.gov.ua/get-user-certificate/J5325C1UdswyadiYPYSJ","Завантажити сертифікат")</f>
        <v>Завантажити сертифікат</v>
      </c>
    </row>
    <row r="625" spans="1:6" x14ac:dyDescent="0.3">
      <c r="A625" s="2">
        <v>624</v>
      </c>
      <c r="B625" s="1" t="s">
        <v>1300</v>
      </c>
      <c r="C625" s="1" t="s">
        <v>1109</v>
      </c>
      <c r="D625" s="1" t="s">
        <v>1110</v>
      </c>
      <c r="E625" s="1" t="s">
        <v>1301</v>
      </c>
      <c r="F625" s="1" t="str">
        <f>HYPERLINK("https://talan.bank.gov.ua/get-user-certificate/J5325PCwSAbp17RYwMIk","Завантажити сертифікат")</f>
        <v>Завантажити сертифікат</v>
      </c>
    </row>
    <row r="626" spans="1:6" x14ac:dyDescent="0.3">
      <c r="A626" s="2">
        <v>625</v>
      </c>
      <c r="B626" s="1" t="s">
        <v>1302</v>
      </c>
      <c r="C626" s="1" t="s">
        <v>1109</v>
      </c>
      <c r="D626" s="1" t="s">
        <v>1110</v>
      </c>
      <c r="E626" s="1" t="s">
        <v>1303</v>
      </c>
      <c r="F626" s="1" t="str">
        <f>HYPERLINK("https://talan.bank.gov.ua/get-user-certificate/J5325n8IPyVm7NbfjYL1","Завантажити сертифікат")</f>
        <v>Завантажити сертифікат</v>
      </c>
    </row>
    <row r="627" spans="1:6" x14ac:dyDescent="0.3">
      <c r="A627" s="2">
        <v>626</v>
      </c>
      <c r="B627" s="1" t="s">
        <v>1304</v>
      </c>
      <c r="C627" s="1" t="s">
        <v>1109</v>
      </c>
      <c r="D627" s="1" t="s">
        <v>1110</v>
      </c>
      <c r="E627" s="1" t="s">
        <v>1305</v>
      </c>
      <c r="F627" s="1" t="str">
        <f>HYPERLINK("https://talan.bank.gov.ua/get-user-certificate/J53259G-Qbkm1HRaLV1X","Завантажити сертифікат")</f>
        <v>Завантажити сертифікат</v>
      </c>
    </row>
    <row r="628" spans="1:6" x14ac:dyDescent="0.3">
      <c r="A628" s="2">
        <v>627</v>
      </c>
      <c r="B628" s="1" t="s">
        <v>1306</v>
      </c>
      <c r="C628" s="1" t="s">
        <v>1109</v>
      </c>
      <c r="D628" s="1" t="s">
        <v>1110</v>
      </c>
      <c r="E628" s="1" t="s">
        <v>1307</v>
      </c>
      <c r="F628" s="1" t="str">
        <f>HYPERLINK("https://talan.bank.gov.ua/get-user-certificate/J5325NnNGafF5pOENGEG","Завантажити сертифікат")</f>
        <v>Завантажити сертифікат</v>
      </c>
    </row>
    <row r="629" spans="1:6" x14ac:dyDescent="0.3">
      <c r="A629" s="2">
        <v>628</v>
      </c>
      <c r="B629" s="1" t="s">
        <v>1308</v>
      </c>
      <c r="C629" s="1" t="s">
        <v>1109</v>
      </c>
      <c r="D629" s="1" t="s">
        <v>1110</v>
      </c>
      <c r="E629" s="1" t="s">
        <v>1309</v>
      </c>
      <c r="F629" s="1" t="str">
        <f>HYPERLINK("https://talan.bank.gov.ua/get-user-certificate/J5325KfHGggy9hWyehMm","Завантажити сертифікат")</f>
        <v>Завантажити сертифікат</v>
      </c>
    </row>
    <row r="630" spans="1:6" x14ac:dyDescent="0.3">
      <c r="A630" s="2">
        <v>629</v>
      </c>
      <c r="B630" s="1" t="s">
        <v>1310</v>
      </c>
      <c r="C630" s="1" t="s">
        <v>1109</v>
      </c>
      <c r="D630" s="1" t="s">
        <v>1110</v>
      </c>
      <c r="E630" s="1" t="s">
        <v>1311</v>
      </c>
      <c r="F630" s="1" t="str">
        <f>HYPERLINK("https://talan.bank.gov.ua/get-user-certificate/J5325v3COmsymZH57hB0","Завантажити сертифікат")</f>
        <v>Завантажити сертифікат</v>
      </c>
    </row>
    <row r="631" spans="1:6" x14ac:dyDescent="0.3">
      <c r="A631" s="2">
        <v>630</v>
      </c>
      <c r="B631" s="1" t="s">
        <v>1312</v>
      </c>
      <c r="C631" s="1" t="s">
        <v>1109</v>
      </c>
      <c r="D631" s="1" t="s">
        <v>1110</v>
      </c>
      <c r="E631" s="1" t="s">
        <v>1313</v>
      </c>
      <c r="F631" s="1" t="str">
        <f>HYPERLINK("https://talan.bank.gov.ua/get-user-certificate/J5325_WIxqW4dQbYGBQ4","Завантажити сертифікат")</f>
        <v>Завантажити сертифікат</v>
      </c>
    </row>
    <row r="632" spans="1:6" ht="28.8" x14ac:dyDescent="0.3">
      <c r="A632" s="2">
        <v>631</v>
      </c>
      <c r="B632" s="1" t="s">
        <v>1314</v>
      </c>
      <c r="C632" s="1" t="s">
        <v>1109</v>
      </c>
      <c r="D632" s="1" t="s">
        <v>1110</v>
      </c>
      <c r="E632" s="1" t="s">
        <v>1315</v>
      </c>
      <c r="F632" s="1" t="str">
        <f>HYPERLINK("https://talan.bank.gov.ua/get-user-certificate/J5325yx_RSj8co5K2KIb","Завантажити сертифікат")</f>
        <v>Завантажити сертифікат</v>
      </c>
    </row>
    <row r="633" spans="1:6" x14ac:dyDescent="0.3">
      <c r="A633" s="2">
        <v>632</v>
      </c>
      <c r="B633" s="1" t="s">
        <v>1316</v>
      </c>
      <c r="C633" s="1" t="s">
        <v>1109</v>
      </c>
      <c r="D633" s="1" t="s">
        <v>1110</v>
      </c>
      <c r="E633" s="1" t="s">
        <v>1317</v>
      </c>
      <c r="F633" s="1" t="str">
        <f>HYPERLINK("https://talan.bank.gov.ua/get-user-certificate/J5325-aZF3rHsfUy3oX9","Завантажити сертифікат")</f>
        <v>Завантажити сертифікат</v>
      </c>
    </row>
    <row r="634" spans="1:6" x14ac:dyDescent="0.3">
      <c r="A634" s="2">
        <v>633</v>
      </c>
      <c r="B634" s="1" t="s">
        <v>1318</v>
      </c>
      <c r="C634" s="1" t="s">
        <v>1109</v>
      </c>
      <c r="D634" s="1" t="s">
        <v>1110</v>
      </c>
      <c r="E634" s="1" t="s">
        <v>1319</v>
      </c>
      <c r="F634" s="1" t="str">
        <f>HYPERLINK("https://talan.bank.gov.ua/get-user-certificate/J5325jFfe0Y8UW3CqeNW","Завантажити сертифікат")</f>
        <v>Завантажити сертифікат</v>
      </c>
    </row>
    <row r="635" spans="1:6" x14ac:dyDescent="0.3">
      <c r="A635" s="2">
        <v>634</v>
      </c>
      <c r="B635" s="1" t="s">
        <v>1320</v>
      </c>
      <c r="C635" s="1" t="s">
        <v>1109</v>
      </c>
      <c r="D635" s="1" t="s">
        <v>1110</v>
      </c>
      <c r="E635" s="1" t="s">
        <v>1321</v>
      </c>
      <c r="F635" s="1" t="str">
        <f>HYPERLINK("https://talan.bank.gov.ua/get-user-certificate/J5325osLh-zCWzjjwIfC","Завантажити сертифікат")</f>
        <v>Завантажити сертифікат</v>
      </c>
    </row>
    <row r="636" spans="1:6" x14ac:dyDescent="0.3">
      <c r="A636" s="2">
        <v>635</v>
      </c>
      <c r="B636" s="1" t="s">
        <v>1322</v>
      </c>
      <c r="C636" s="1" t="s">
        <v>1109</v>
      </c>
      <c r="D636" s="1" t="s">
        <v>1110</v>
      </c>
      <c r="E636" s="1" t="s">
        <v>1323</v>
      </c>
      <c r="F636" s="1" t="str">
        <f>HYPERLINK("https://talan.bank.gov.ua/get-user-certificate/J5325pAdKT7_4Y7c9DNY","Завантажити сертифікат")</f>
        <v>Завантажити сертифікат</v>
      </c>
    </row>
    <row r="637" spans="1:6" x14ac:dyDescent="0.3">
      <c r="A637" s="2">
        <v>636</v>
      </c>
      <c r="B637" s="1" t="s">
        <v>1324</v>
      </c>
      <c r="C637" s="1" t="s">
        <v>1109</v>
      </c>
      <c r="D637" s="1" t="s">
        <v>1110</v>
      </c>
      <c r="E637" s="1" t="s">
        <v>1325</v>
      </c>
      <c r="F637" s="1" t="str">
        <f>HYPERLINK("https://talan.bank.gov.ua/get-user-certificate/J5325BIirK4OajBEYsay","Завантажити сертифікат")</f>
        <v>Завантажити сертифікат</v>
      </c>
    </row>
    <row r="638" spans="1:6" x14ac:dyDescent="0.3">
      <c r="A638" s="2">
        <v>637</v>
      </c>
      <c r="B638" s="1" t="s">
        <v>1326</v>
      </c>
      <c r="C638" s="1" t="s">
        <v>1109</v>
      </c>
      <c r="D638" s="1" t="s">
        <v>1110</v>
      </c>
      <c r="E638" s="1" t="s">
        <v>1327</v>
      </c>
      <c r="F638" s="1" t="str">
        <f>HYPERLINK("https://talan.bank.gov.ua/get-user-certificate/J5325rLidUduK72tcPwH","Завантажити сертифікат")</f>
        <v>Завантажити сертифікат</v>
      </c>
    </row>
    <row r="639" spans="1:6" x14ac:dyDescent="0.3">
      <c r="A639" s="2">
        <v>638</v>
      </c>
      <c r="B639" s="1" t="s">
        <v>1328</v>
      </c>
      <c r="C639" s="1" t="s">
        <v>1109</v>
      </c>
      <c r="D639" s="1" t="s">
        <v>1110</v>
      </c>
      <c r="E639" s="1" t="s">
        <v>1329</v>
      </c>
      <c r="F639" s="1" t="str">
        <f>HYPERLINK("https://talan.bank.gov.ua/get-user-certificate/J5325K5F9qR1oQS65ak1","Завантажити сертифікат")</f>
        <v>Завантажити сертифікат</v>
      </c>
    </row>
    <row r="640" spans="1:6" x14ac:dyDescent="0.3">
      <c r="A640" s="2">
        <v>639</v>
      </c>
      <c r="B640" s="1" t="s">
        <v>1330</v>
      </c>
      <c r="C640" s="1" t="s">
        <v>1109</v>
      </c>
      <c r="D640" s="1" t="s">
        <v>1110</v>
      </c>
      <c r="E640" s="1" t="s">
        <v>1331</v>
      </c>
      <c r="F640" s="1" t="str">
        <f>HYPERLINK("https://talan.bank.gov.ua/get-user-certificate/J5325owAfhbrfWoOxLus","Завантажити сертифікат")</f>
        <v>Завантажити сертифікат</v>
      </c>
    </row>
    <row r="641" spans="1:6" x14ac:dyDescent="0.3">
      <c r="A641" s="2">
        <v>640</v>
      </c>
      <c r="B641" s="1" t="s">
        <v>1332</v>
      </c>
      <c r="C641" s="1" t="s">
        <v>1109</v>
      </c>
      <c r="D641" s="1" t="s">
        <v>1110</v>
      </c>
      <c r="E641" s="1" t="s">
        <v>1333</v>
      </c>
      <c r="F641" s="1" t="str">
        <f>HYPERLINK("https://talan.bank.gov.ua/get-user-certificate/J5325JW6NDlbUXZWAj2V","Завантажити сертифікат")</f>
        <v>Завантажити сертифікат</v>
      </c>
    </row>
    <row r="642" spans="1:6" x14ac:dyDescent="0.3">
      <c r="A642" s="2">
        <v>641</v>
      </c>
      <c r="B642" s="1" t="s">
        <v>1334</v>
      </c>
      <c r="C642" s="1" t="s">
        <v>1109</v>
      </c>
      <c r="D642" s="1" t="s">
        <v>1110</v>
      </c>
      <c r="E642" s="1" t="s">
        <v>1335</v>
      </c>
      <c r="F642" s="1" t="str">
        <f>HYPERLINK("https://talan.bank.gov.ua/get-user-certificate/J5325S0KQ1pOratAntXO","Завантажити сертифікат")</f>
        <v>Завантажити сертифікат</v>
      </c>
    </row>
    <row r="643" spans="1:6" x14ac:dyDescent="0.3">
      <c r="A643" s="2">
        <v>642</v>
      </c>
      <c r="B643" s="1" t="s">
        <v>1336</v>
      </c>
      <c r="C643" s="1" t="s">
        <v>1109</v>
      </c>
      <c r="D643" s="1" t="s">
        <v>1110</v>
      </c>
      <c r="E643" s="1" t="s">
        <v>1337</v>
      </c>
      <c r="F643" s="1" t="str">
        <f>HYPERLINK("https://talan.bank.gov.ua/get-user-certificate/J5325_WI1rrnor0mvbG-","Завантажити сертифікат")</f>
        <v>Завантажити сертифікат</v>
      </c>
    </row>
    <row r="644" spans="1:6" x14ac:dyDescent="0.3">
      <c r="A644" s="2">
        <v>643</v>
      </c>
      <c r="B644" s="1" t="s">
        <v>1338</v>
      </c>
      <c r="C644" s="1" t="s">
        <v>1109</v>
      </c>
      <c r="D644" s="1" t="s">
        <v>1110</v>
      </c>
      <c r="E644" s="1" t="s">
        <v>1339</v>
      </c>
      <c r="F644" s="1" t="str">
        <f>HYPERLINK("https://talan.bank.gov.ua/get-user-certificate/J53259A_TjAooWuIhQi8","Завантажити сертифікат")</f>
        <v>Завантажити сертифікат</v>
      </c>
    </row>
    <row r="645" spans="1:6" x14ac:dyDescent="0.3">
      <c r="A645" s="2">
        <v>644</v>
      </c>
      <c r="B645" s="1" t="s">
        <v>1340</v>
      </c>
      <c r="C645" s="1" t="s">
        <v>1109</v>
      </c>
      <c r="D645" s="1" t="s">
        <v>1110</v>
      </c>
      <c r="E645" s="1" t="s">
        <v>1341</v>
      </c>
      <c r="F645" s="1" t="str">
        <f>HYPERLINK("https://talan.bank.gov.ua/get-user-certificate/J5325a2mAiB3d6abEiFf","Завантажити сертифікат")</f>
        <v>Завантажити сертифікат</v>
      </c>
    </row>
    <row r="646" spans="1:6" x14ac:dyDescent="0.3">
      <c r="A646" s="2">
        <v>645</v>
      </c>
      <c r="B646" s="1" t="s">
        <v>1342</v>
      </c>
      <c r="C646" s="1" t="s">
        <v>1109</v>
      </c>
      <c r="D646" s="1" t="s">
        <v>1110</v>
      </c>
      <c r="E646" s="1" t="s">
        <v>1343</v>
      </c>
      <c r="F646" s="1" t="str">
        <f>HYPERLINK("https://talan.bank.gov.ua/get-user-certificate/J5325qmv3A0G1LLXAIDC","Завантажити сертифікат")</f>
        <v>Завантажити сертифікат</v>
      </c>
    </row>
    <row r="647" spans="1:6" x14ac:dyDescent="0.3">
      <c r="A647" s="2">
        <v>646</v>
      </c>
      <c r="B647" s="1" t="s">
        <v>1344</v>
      </c>
      <c r="C647" s="1" t="s">
        <v>1109</v>
      </c>
      <c r="D647" s="1" t="s">
        <v>1110</v>
      </c>
      <c r="E647" s="1" t="s">
        <v>1345</v>
      </c>
      <c r="F647" s="1" t="str">
        <f>HYPERLINK("https://talan.bank.gov.ua/get-user-certificate/J5325jrJiWaY2DJhgIrJ","Завантажити сертифікат")</f>
        <v>Завантажити сертифікат</v>
      </c>
    </row>
    <row r="648" spans="1:6" x14ac:dyDescent="0.3">
      <c r="A648" s="2">
        <v>647</v>
      </c>
      <c r="B648" s="1" t="s">
        <v>1346</v>
      </c>
      <c r="C648" s="1" t="s">
        <v>1109</v>
      </c>
      <c r="D648" s="1" t="s">
        <v>1110</v>
      </c>
      <c r="E648" s="1" t="s">
        <v>1347</v>
      </c>
      <c r="F648" s="1" t="str">
        <f>HYPERLINK("https://talan.bank.gov.ua/get-user-certificate/J5325n6ntZxd45c8xbtM","Завантажити сертифікат")</f>
        <v>Завантажити сертифікат</v>
      </c>
    </row>
    <row r="649" spans="1:6" x14ac:dyDescent="0.3">
      <c r="A649" s="2">
        <v>648</v>
      </c>
      <c r="B649" s="1" t="s">
        <v>1348</v>
      </c>
      <c r="C649" s="1" t="s">
        <v>1109</v>
      </c>
      <c r="D649" s="1" t="s">
        <v>1110</v>
      </c>
      <c r="E649" s="1" t="s">
        <v>1349</v>
      </c>
      <c r="F649" s="1" t="str">
        <f>HYPERLINK("https://talan.bank.gov.ua/get-user-certificate/J5325taUgBOQdC8YzYvj","Завантажити сертифікат")</f>
        <v>Завантажити сертифікат</v>
      </c>
    </row>
    <row r="650" spans="1:6" x14ac:dyDescent="0.3">
      <c r="A650" s="2">
        <v>649</v>
      </c>
      <c r="B650" s="1" t="s">
        <v>1350</v>
      </c>
      <c r="C650" s="1" t="s">
        <v>1109</v>
      </c>
      <c r="D650" s="1" t="s">
        <v>1110</v>
      </c>
      <c r="E650" s="1" t="s">
        <v>1351</v>
      </c>
      <c r="F650" s="1" t="str">
        <f>HYPERLINK("https://talan.bank.gov.ua/get-user-certificate/J5325sf0YyQsYe1u-Zfe","Завантажити сертифікат")</f>
        <v>Завантажити сертифікат</v>
      </c>
    </row>
    <row r="651" spans="1:6" x14ac:dyDescent="0.3">
      <c r="A651" s="2">
        <v>650</v>
      </c>
      <c r="B651" s="1" t="s">
        <v>1352</v>
      </c>
      <c r="C651" s="1" t="s">
        <v>1109</v>
      </c>
      <c r="D651" s="1" t="s">
        <v>1110</v>
      </c>
      <c r="E651" s="1" t="s">
        <v>1353</v>
      </c>
      <c r="F651" s="1" t="str">
        <f>HYPERLINK("https://talan.bank.gov.ua/get-user-certificate/J5325OiD7uFj7oBNBYgw","Завантажити сертифікат")</f>
        <v>Завантажити сертифікат</v>
      </c>
    </row>
    <row r="652" spans="1:6" x14ac:dyDescent="0.3">
      <c r="A652" s="2">
        <v>651</v>
      </c>
      <c r="B652" s="1" t="s">
        <v>1354</v>
      </c>
      <c r="C652" s="1" t="s">
        <v>1109</v>
      </c>
      <c r="D652" s="1" t="s">
        <v>1110</v>
      </c>
      <c r="E652" s="1" t="s">
        <v>1355</v>
      </c>
      <c r="F652" s="1" t="str">
        <f>HYPERLINK("https://talan.bank.gov.ua/get-user-certificate/J5325ETRH3QGjQE2jyAk","Завантажити сертифікат")</f>
        <v>Завантажити сертифікат</v>
      </c>
    </row>
    <row r="653" spans="1:6" x14ac:dyDescent="0.3">
      <c r="A653" s="2">
        <v>652</v>
      </c>
      <c r="B653" s="1" t="s">
        <v>1356</v>
      </c>
      <c r="C653" s="1" t="s">
        <v>1109</v>
      </c>
      <c r="D653" s="1" t="s">
        <v>1110</v>
      </c>
      <c r="E653" s="1" t="s">
        <v>1357</v>
      </c>
      <c r="F653" s="1" t="str">
        <f>HYPERLINK("https://talan.bank.gov.ua/get-user-certificate/J5325BMFl66Tw6KVY6j1","Завантажити сертифікат")</f>
        <v>Завантажити сертифікат</v>
      </c>
    </row>
    <row r="654" spans="1:6" x14ac:dyDescent="0.3">
      <c r="A654" s="2">
        <v>653</v>
      </c>
      <c r="B654" s="1" t="s">
        <v>1358</v>
      </c>
      <c r="C654" s="1" t="s">
        <v>1109</v>
      </c>
      <c r="D654" s="1" t="s">
        <v>1110</v>
      </c>
      <c r="E654" s="1" t="s">
        <v>1359</v>
      </c>
      <c r="F654" s="1" t="str">
        <f>HYPERLINK("https://talan.bank.gov.ua/get-user-certificate/J53252VCyLQTzpjJF51f","Завантажити сертифікат")</f>
        <v>Завантажити сертифікат</v>
      </c>
    </row>
    <row r="655" spans="1:6" x14ac:dyDescent="0.3">
      <c r="A655" s="2">
        <v>654</v>
      </c>
      <c r="B655" s="1" t="s">
        <v>1360</v>
      </c>
      <c r="C655" s="1" t="s">
        <v>1109</v>
      </c>
      <c r="D655" s="1" t="s">
        <v>1110</v>
      </c>
      <c r="E655" s="1" t="s">
        <v>1361</v>
      </c>
      <c r="F655" s="1" t="str">
        <f>HYPERLINK("https://talan.bank.gov.ua/get-user-certificate/J5325L2sx3cJcCEbZSqk","Завантажити сертифікат")</f>
        <v>Завантажити сертифікат</v>
      </c>
    </row>
    <row r="656" spans="1:6" x14ac:dyDescent="0.3">
      <c r="A656" s="2">
        <v>655</v>
      </c>
      <c r="B656" s="1" t="s">
        <v>1362</v>
      </c>
      <c r="C656" s="1" t="s">
        <v>1109</v>
      </c>
      <c r="D656" s="1" t="s">
        <v>1110</v>
      </c>
      <c r="E656" s="1" t="s">
        <v>1363</v>
      </c>
      <c r="F656" s="1" t="str">
        <f>HYPERLINK("https://talan.bank.gov.ua/get-user-certificate/J5325scr33hsvHGHjgFR","Завантажити сертифікат")</f>
        <v>Завантажити сертифікат</v>
      </c>
    </row>
    <row r="657" spans="1:6" x14ac:dyDescent="0.3">
      <c r="A657" s="2">
        <v>656</v>
      </c>
      <c r="B657" s="1" t="s">
        <v>1364</v>
      </c>
      <c r="C657" s="1" t="s">
        <v>1109</v>
      </c>
      <c r="D657" s="1" t="s">
        <v>1110</v>
      </c>
      <c r="E657" s="1" t="s">
        <v>1365</v>
      </c>
      <c r="F657" s="1" t="str">
        <f>HYPERLINK("https://talan.bank.gov.ua/get-user-certificate/J5325QQOGuzbcng6jy49","Завантажити сертифікат")</f>
        <v>Завантажити сертифікат</v>
      </c>
    </row>
    <row r="658" spans="1:6" x14ac:dyDescent="0.3">
      <c r="A658" s="2">
        <v>657</v>
      </c>
      <c r="B658" s="1" t="s">
        <v>1366</v>
      </c>
      <c r="C658" s="1" t="s">
        <v>1109</v>
      </c>
      <c r="D658" s="1" t="s">
        <v>1110</v>
      </c>
      <c r="E658" s="1" t="s">
        <v>1367</v>
      </c>
      <c r="F658" s="1" t="str">
        <f>HYPERLINK("https://talan.bank.gov.ua/get-user-certificate/J5325C3-c7xJh2DQdIFf","Завантажити сертифікат")</f>
        <v>Завантажити сертифікат</v>
      </c>
    </row>
    <row r="659" spans="1:6" x14ac:dyDescent="0.3">
      <c r="A659" s="2">
        <v>658</v>
      </c>
      <c r="B659" s="1" t="s">
        <v>1368</v>
      </c>
      <c r="C659" s="1" t="s">
        <v>1109</v>
      </c>
      <c r="D659" s="1" t="s">
        <v>1110</v>
      </c>
      <c r="E659" s="1" t="s">
        <v>1369</v>
      </c>
      <c r="F659" s="1" t="str">
        <f>HYPERLINK("https://talan.bank.gov.ua/get-user-certificate/J5325-Qo78C4Tw-X6vGv","Завантажити сертифікат")</f>
        <v>Завантажити сертифікат</v>
      </c>
    </row>
    <row r="660" spans="1:6" x14ac:dyDescent="0.3">
      <c r="A660" s="2">
        <v>659</v>
      </c>
      <c r="B660" s="1" t="s">
        <v>1370</v>
      </c>
      <c r="C660" s="1" t="s">
        <v>1109</v>
      </c>
      <c r="D660" s="1" t="s">
        <v>1110</v>
      </c>
      <c r="E660" s="1" t="s">
        <v>1371</v>
      </c>
      <c r="F660" s="1" t="str">
        <f>HYPERLINK("https://talan.bank.gov.ua/get-user-certificate/J5325_X4r-Yiq92oxEZN","Завантажити сертифікат")</f>
        <v>Завантажити сертифікат</v>
      </c>
    </row>
    <row r="661" spans="1:6" x14ac:dyDescent="0.3">
      <c r="A661" s="2">
        <v>660</v>
      </c>
      <c r="B661" s="1" t="s">
        <v>1372</v>
      </c>
      <c r="C661" s="1" t="s">
        <v>1373</v>
      </c>
      <c r="D661" s="1" t="s">
        <v>1374</v>
      </c>
      <c r="E661" s="1" t="s">
        <v>1375</v>
      </c>
      <c r="F661" s="1" t="str">
        <f>HYPERLINK("https://talan.bank.gov.ua/get-user-certificate/J5325gC9zhMYegYjIer-","Завантажити сертифікат")</f>
        <v>Завантажити сертифікат</v>
      </c>
    </row>
    <row r="662" spans="1:6" x14ac:dyDescent="0.3">
      <c r="A662" s="2">
        <v>661</v>
      </c>
      <c r="B662" s="1" t="s">
        <v>1376</v>
      </c>
      <c r="C662" s="1" t="s">
        <v>1373</v>
      </c>
      <c r="D662" s="1" t="s">
        <v>1374</v>
      </c>
      <c r="E662" s="1" t="s">
        <v>1377</v>
      </c>
      <c r="F662" s="1" t="str">
        <f>HYPERLINK("https://talan.bank.gov.ua/get-user-certificate/J5325MLaXAMI4QkxX2Xw","Завантажити сертифікат")</f>
        <v>Завантажити сертифікат</v>
      </c>
    </row>
    <row r="663" spans="1:6" ht="28.8" x14ac:dyDescent="0.3">
      <c r="A663" s="2">
        <v>662</v>
      </c>
      <c r="B663" s="1" t="s">
        <v>1378</v>
      </c>
      <c r="C663" s="1" t="s">
        <v>1373</v>
      </c>
      <c r="D663" s="1" t="s">
        <v>1374</v>
      </c>
      <c r="E663" s="1" t="s">
        <v>1379</v>
      </c>
      <c r="F663" s="1" t="str">
        <f>HYPERLINK("https://talan.bank.gov.ua/get-user-certificate/J5325X0SZNx8U9gBhR7C","Завантажити сертифікат")</f>
        <v>Завантажити сертифікат</v>
      </c>
    </row>
    <row r="664" spans="1:6" x14ac:dyDescent="0.3">
      <c r="A664" s="2">
        <v>663</v>
      </c>
      <c r="B664" s="1" t="s">
        <v>1380</v>
      </c>
      <c r="C664" s="1" t="s">
        <v>1373</v>
      </c>
      <c r="D664" s="1" t="s">
        <v>1374</v>
      </c>
      <c r="E664" s="1" t="s">
        <v>1381</v>
      </c>
      <c r="F664" s="1" t="str">
        <f>HYPERLINK("https://talan.bank.gov.ua/get-user-certificate/J53259A0tYxZ6QF3UjW_","Завантажити сертифікат")</f>
        <v>Завантажити сертифікат</v>
      </c>
    </row>
    <row r="665" spans="1:6" x14ac:dyDescent="0.3">
      <c r="A665" s="2">
        <v>664</v>
      </c>
      <c r="B665" s="1" t="s">
        <v>1382</v>
      </c>
      <c r="C665" s="1" t="s">
        <v>1373</v>
      </c>
      <c r="D665" s="1" t="s">
        <v>1374</v>
      </c>
      <c r="E665" s="1" t="s">
        <v>1383</v>
      </c>
      <c r="F665" s="1" t="str">
        <f>HYPERLINK("https://talan.bank.gov.ua/get-user-certificate/J5325LTQPrwMXp1D_ZW2","Завантажити сертифікат")</f>
        <v>Завантажити сертифікат</v>
      </c>
    </row>
    <row r="666" spans="1:6" x14ac:dyDescent="0.3">
      <c r="A666" s="2">
        <v>665</v>
      </c>
      <c r="B666" s="1" t="s">
        <v>1384</v>
      </c>
      <c r="C666" s="1" t="s">
        <v>1373</v>
      </c>
      <c r="D666" s="1" t="s">
        <v>1374</v>
      </c>
      <c r="E666" s="1" t="s">
        <v>1385</v>
      </c>
      <c r="F666" s="1" t="str">
        <f>HYPERLINK("https://talan.bank.gov.ua/get-user-certificate/J5325sa4jvfssMDo6Whu","Завантажити сертифікат")</f>
        <v>Завантажити сертифікат</v>
      </c>
    </row>
    <row r="667" spans="1:6" x14ac:dyDescent="0.3">
      <c r="A667" s="2">
        <v>666</v>
      </c>
      <c r="B667" s="1" t="s">
        <v>1386</v>
      </c>
      <c r="C667" s="1" t="s">
        <v>1373</v>
      </c>
      <c r="D667" s="1" t="s">
        <v>1374</v>
      </c>
      <c r="E667" s="1" t="s">
        <v>1387</v>
      </c>
      <c r="F667" s="1" t="str">
        <f>HYPERLINK("https://talan.bank.gov.ua/get-user-certificate/J5325SLKp9B6eE5RMiNS","Завантажити сертифікат")</f>
        <v>Завантажити сертифікат</v>
      </c>
    </row>
    <row r="668" spans="1:6" x14ac:dyDescent="0.3">
      <c r="A668" s="2">
        <v>667</v>
      </c>
      <c r="B668" s="1" t="s">
        <v>1388</v>
      </c>
      <c r="C668" s="1" t="s">
        <v>1373</v>
      </c>
      <c r="D668" s="1" t="s">
        <v>1374</v>
      </c>
      <c r="E668" s="1" t="s">
        <v>1389</v>
      </c>
      <c r="F668" s="1" t="str">
        <f>HYPERLINK("https://talan.bank.gov.ua/get-user-certificate/J53253GSEca7vdqPLjZU","Завантажити сертифікат")</f>
        <v>Завантажити сертифікат</v>
      </c>
    </row>
    <row r="669" spans="1:6" x14ac:dyDescent="0.3">
      <c r="A669" s="2">
        <v>668</v>
      </c>
      <c r="B669" s="1" t="s">
        <v>1390</v>
      </c>
      <c r="C669" s="1" t="s">
        <v>1373</v>
      </c>
      <c r="D669" s="1" t="s">
        <v>1374</v>
      </c>
      <c r="E669" s="1" t="s">
        <v>1391</v>
      </c>
      <c r="F669" s="1" t="str">
        <f>HYPERLINK("https://talan.bank.gov.ua/get-user-certificate/J5325-g2F8FB0qdqDi-5","Завантажити сертифікат")</f>
        <v>Завантажити сертифікат</v>
      </c>
    </row>
    <row r="670" spans="1:6" x14ac:dyDescent="0.3">
      <c r="A670" s="2">
        <v>669</v>
      </c>
      <c r="B670" s="1" t="s">
        <v>1392</v>
      </c>
      <c r="C670" s="1" t="s">
        <v>1373</v>
      </c>
      <c r="D670" s="1" t="s">
        <v>1374</v>
      </c>
      <c r="E670" s="1" t="s">
        <v>1393</v>
      </c>
      <c r="F670" s="1" t="str">
        <f>HYPERLINK("https://talan.bank.gov.ua/get-user-certificate/J53255jkRvoM5hkxo3W5","Завантажити сертифікат")</f>
        <v>Завантажити сертифікат</v>
      </c>
    </row>
    <row r="671" spans="1:6" x14ac:dyDescent="0.3">
      <c r="A671" s="2">
        <v>670</v>
      </c>
      <c r="B671" s="1" t="s">
        <v>1394</v>
      </c>
      <c r="C671" s="1" t="s">
        <v>1373</v>
      </c>
      <c r="D671" s="1" t="s">
        <v>1374</v>
      </c>
      <c r="E671" s="1" t="s">
        <v>1395</v>
      </c>
      <c r="F671" s="1" t="str">
        <f>HYPERLINK("https://talan.bank.gov.ua/get-user-certificate/J5325csttDRPnzZdEUyy","Завантажити сертифікат")</f>
        <v>Завантажити сертифікат</v>
      </c>
    </row>
    <row r="672" spans="1:6" x14ac:dyDescent="0.3">
      <c r="A672" s="2">
        <v>671</v>
      </c>
      <c r="B672" s="1" t="s">
        <v>1396</v>
      </c>
      <c r="C672" s="1" t="s">
        <v>1373</v>
      </c>
      <c r="D672" s="1" t="s">
        <v>1374</v>
      </c>
      <c r="E672" s="1" t="s">
        <v>1397</v>
      </c>
      <c r="F672" s="1" t="str">
        <f>HYPERLINK("https://talan.bank.gov.ua/get-user-certificate/J5325TBeAKZDnS3SiHmS","Завантажити сертифікат")</f>
        <v>Завантажити сертифікат</v>
      </c>
    </row>
    <row r="673" spans="1:6" x14ac:dyDescent="0.3">
      <c r="A673" s="2">
        <v>672</v>
      </c>
      <c r="B673" s="1" t="s">
        <v>1398</v>
      </c>
      <c r="C673" s="1" t="s">
        <v>1373</v>
      </c>
      <c r="D673" s="1" t="s">
        <v>1374</v>
      </c>
      <c r="E673" s="1" t="s">
        <v>1399</v>
      </c>
      <c r="F673" s="1" t="str">
        <f>HYPERLINK("https://talan.bank.gov.ua/get-user-certificate/J5325-9KOA2IUZRbnAt7","Завантажити сертифікат")</f>
        <v>Завантажити сертифікат</v>
      </c>
    </row>
    <row r="674" spans="1:6" x14ac:dyDescent="0.3">
      <c r="A674" s="2">
        <v>673</v>
      </c>
      <c r="B674" s="1" t="s">
        <v>1400</v>
      </c>
      <c r="C674" s="1" t="s">
        <v>1373</v>
      </c>
      <c r="D674" s="1" t="s">
        <v>1374</v>
      </c>
      <c r="E674" s="1" t="s">
        <v>1401</v>
      </c>
      <c r="F674" s="1" t="str">
        <f>HYPERLINK("https://talan.bank.gov.ua/get-user-certificate/J5325NmYVL7IjngEQApP","Завантажити сертифікат")</f>
        <v>Завантажити сертифікат</v>
      </c>
    </row>
    <row r="675" spans="1:6" x14ac:dyDescent="0.3">
      <c r="A675" s="2">
        <v>674</v>
      </c>
      <c r="B675" s="1" t="s">
        <v>1402</v>
      </c>
      <c r="C675" s="1" t="s">
        <v>1373</v>
      </c>
      <c r="D675" s="1" t="s">
        <v>1374</v>
      </c>
      <c r="E675" s="1" t="s">
        <v>1403</v>
      </c>
      <c r="F675" s="1" t="str">
        <f>HYPERLINK("https://talan.bank.gov.ua/get-user-certificate/J5325WE4FnC_xU5B6iC4","Завантажити сертифікат")</f>
        <v>Завантажити сертифікат</v>
      </c>
    </row>
    <row r="676" spans="1:6" x14ac:dyDescent="0.3">
      <c r="A676" s="2">
        <v>675</v>
      </c>
      <c r="B676" s="1" t="s">
        <v>1404</v>
      </c>
      <c r="C676" s="1" t="s">
        <v>1373</v>
      </c>
      <c r="D676" s="1" t="s">
        <v>1374</v>
      </c>
      <c r="E676" s="1" t="s">
        <v>1405</v>
      </c>
      <c r="F676" s="1" t="str">
        <f>HYPERLINK("https://talan.bank.gov.ua/get-user-certificate/J5325oEUTjMNsCXZqXdy","Завантажити сертифікат")</f>
        <v>Завантажити сертифікат</v>
      </c>
    </row>
    <row r="677" spans="1:6" x14ac:dyDescent="0.3">
      <c r="A677" s="2">
        <v>676</v>
      </c>
      <c r="B677" s="1" t="s">
        <v>1406</v>
      </c>
      <c r="C677" s="1" t="s">
        <v>1373</v>
      </c>
      <c r="D677" s="1" t="s">
        <v>1374</v>
      </c>
      <c r="E677" s="1" t="s">
        <v>1407</v>
      </c>
      <c r="F677" s="1" t="str">
        <f>HYPERLINK("https://talan.bank.gov.ua/get-user-certificate/J5325BLsu870n5Z_EYYz","Завантажити сертифікат")</f>
        <v>Завантажити сертифікат</v>
      </c>
    </row>
    <row r="678" spans="1:6" x14ac:dyDescent="0.3">
      <c r="A678" s="2">
        <v>677</v>
      </c>
      <c r="B678" s="1" t="s">
        <v>1408</v>
      </c>
      <c r="C678" s="1" t="s">
        <v>1373</v>
      </c>
      <c r="D678" s="1" t="s">
        <v>1374</v>
      </c>
      <c r="E678" s="1" t="s">
        <v>1409</v>
      </c>
      <c r="F678" s="1" t="str">
        <f>HYPERLINK("https://talan.bank.gov.ua/get-user-certificate/J53252YaLzeJCXkosd_z","Завантажити сертифікат")</f>
        <v>Завантажити сертифікат</v>
      </c>
    </row>
    <row r="679" spans="1:6" x14ac:dyDescent="0.3">
      <c r="A679" s="2">
        <v>678</v>
      </c>
      <c r="B679" s="1" t="s">
        <v>1410</v>
      </c>
      <c r="C679" s="1" t="s">
        <v>1373</v>
      </c>
      <c r="D679" s="1" t="s">
        <v>1374</v>
      </c>
      <c r="E679" s="1" t="s">
        <v>1411</v>
      </c>
      <c r="F679" s="1" t="str">
        <f>HYPERLINK("https://talan.bank.gov.ua/get-user-certificate/J5325vfSovj5H6LVpIYz","Завантажити сертифікат")</f>
        <v>Завантажити сертифікат</v>
      </c>
    </row>
    <row r="680" spans="1:6" x14ac:dyDescent="0.3">
      <c r="A680" s="2">
        <v>679</v>
      </c>
      <c r="B680" s="1" t="s">
        <v>1412</v>
      </c>
      <c r="C680" s="1" t="s">
        <v>1373</v>
      </c>
      <c r="D680" s="1" t="s">
        <v>1374</v>
      </c>
      <c r="E680" s="1" t="s">
        <v>1413</v>
      </c>
      <c r="F680" s="1" t="str">
        <f>HYPERLINK("https://talan.bank.gov.ua/get-user-certificate/J5325Ww33docQpMcVobo","Завантажити сертифікат")</f>
        <v>Завантажити сертифікат</v>
      </c>
    </row>
    <row r="681" spans="1:6" x14ac:dyDescent="0.3">
      <c r="A681" s="2">
        <v>680</v>
      </c>
      <c r="B681" s="1" t="s">
        <v>1414</v>
      </c>
      <c r="C681" s="1" t="s">
        <v>1373</v>
      </c>
      <c r="D681" s="1" t="s">
        <v>1374</v>
      </c>
      <c r="E681" s="1" t="s">
        <v>1415</v>
      </c>
      <c r="F681" s="1" t="str">
        <f>HYPERLINK("https://talan.bank.gov.ua/get-user-certificate/J5325ykXJUtUNxlq0FDO","Завантажити сертифікат")</f>
        <v>Завантажити сертифікат</v>
      </c>
    </row>
    <row r="682" spans="1:6" x14ac:dyDescent="0.3">
      <c r="A682" s="2">
        <v>681</v>
      </c>
      <c r="B682" s="1" t="s">
        <v>1416</v>
      </c>
      <c r="C682" s="1" t="s">
        <v>1373</v>
      </c>
      <c r="D682" s="1" t="s">
        <v>1374</v>
      </c>
      <c r="E682" s="1" t="s">
        <v>1417</v>
      </c>
      <c r="F682" s="1" t="str">
        <f>HYPERLINK("https://talan.bank.gov.ua/get-user-certificate/J5325iyVzuHf01Nvysdl","Завантажити сертифікат")</f>
        <v>Завантажити сертифікат</v>
      </c>
    </row>
    <row r="683" spans="1:6" x14ac:dyDescent="0.3">
      <c r="A683" s="2">
        <v>682</v>
      </c>
      <c r="B683" s="1" t="s">
        <v>1418</v>
      </c>
      <c r="C683" s="1" t="s">
        <v>1373</v>
      </c>
      <c r="D683" s="1" t="s">
        <v>1374</v>
      </c>
      <c r="E683" s="1" t="s">
        <v>1419</v>
      </c>
      <c r="F683" s="1" t="str">
        <f>HYPERLINK("https://talan.bank.gov.ua/get-user-certificate/J5325Pb2H2agY2fu1XPN","Завантажити сертифікат")</f>
        <v>Завантажити сертифікат</v>
      </c>
    </row>
    <row r="684" spans="1:6" x14ac:dyDescent="0.3">
      <c r="A684" s="2">
        <v>683</v>
      </c>
      <c r="B684" s="1" t="s">
        <v>1420</v>
      </c>
      <c r="C684" s="1" t="s">
        <v>1373</v>
      </c>
      <c r="D684" s="1" t="s">
        <v>1374</v>
      </c>
      <c r="E684" s="1" t="s">
        <v>1421</v>
      </c>
      <c r="F684" s="1" t="str">
        <f>HYPERLINK("https://talan.bank.gov.ua/get-user-certificate/J5325t91Ysk0lduL4bYB","Завантажити сертифікат")</f>
        <v>Завантажити сертифікат</v>
      </c>
    </row>
    <row r="685" spans="1:6" x14ac:dyDescent="0.3">
      <c r="A685" s="2">
        <v>684</v>
      </c>
      <c r="B685" s="1" t="s">
        <v>1422</v>
      </c>
      <c r="C685" s="1" t="s">
        <v>1423</v>
      </c>
      <c r="D685" s="1" t="s">
        <v>1424</v>
      </c>
      <c r="E685" s="1" t="s">
        <v>1425</v>
      </c>
      <c r="F685" s="1" t="str">
        <f>HYPERLINK("https://talan.bank.gov.ua/get-user-certificate/J5325z2GGA5uB2aP-0os","Завантажити сертифікат")</f>
        <v>Завантажити сертифікат</v>
      </c>
    </row>
    <row r="686" spans="1:6" x14ac:dyDescent="0.3">
      <c r="A686" s="2">
        <v>685</v>
      </c>
      <c r="B686" s="1" t="s">
        <v>1426</v>
      </c>
      <c r="C686" s="1" t="s">
        <v>1423</v>
      </c>
      <c r="D686" s="1" t="s">
        <v>1424</v>
      </c>
      <c r="E686" s="1" t="s">
        <v>1427</v>
      </c>
      <c r="F686" s="1" t="str">
        <f>HYPERLINK("https://talan.bank.gov.ua/get-user-certificate/J5325EJjzm50-Ff0LAjy","Завантажити сертифікат")</f>
        <v>Завантажити сертифікат</v>
      </c>
    </row>
    <row r="687" spans="1:6" x14ac:dyDescent="0.3">
      <c r="A687" s="2">
        <v>686</v>
      </c>
      <c r="B687" s="1" t="s">
        <v>1428</v>
      </c>
      <c r="C687" s="1" t="s">
        <v>1423</v>
      </c>
      <c r="D687" s="1" t="s">
        <v>1424</v>
      </c>
      <c r="E687" s="1" t="s">
        <v>1429</v>
      </c>
      <c r="F687" s="1" t="str">
        <f>HYPERLINK("https://talan.bank.gov.ua/get-user-certificate/J53253TidKMecpvOoOwc","Завантажити сертифікат")</f>
        <v>Завантажити сертифікат</v>
      </c>
    </row>
    <row r="688" spans="1:6" x14ac:dyDescent="0.3">
      <c r="A688" s="2">
        <v>687</v>
      </c>
      <c r="B688" s="1" t="s">
        <v>1430</v>
      </c>
      <c r="C688" s="1" t="s">
        <v>1423</v>
      </c>
      <c r="D688" s="1" t="s">
        <v>1424</v>
      </c>
      <c r="E688" s="1" t="s">
        <v>1431</v>
      </c>
      <c r="F688" s="1" t="str">
        <f>HYPERLINK("https://talan.bank.gov.ua/get-user-certificate/J5325ULTDgchkCXZdkyJ","Завантажити сертифікат")</f>
        <v>Завантажити сертифікат</v>
      </c>
    </row>
    <row r="689" spans="1:6" x14ac:dyDescent="0.3">
      <c r="A689" s="2">
        <v>688</v>
      </c>
      <c r="B689" s="1" t="s">
        <v>1432</v>
      </c>
      <c r="C689" s="1" t="s">
        <v>1423</v>
      </c>
      <c r="D689" s="1" t="s">
        <v>1424</v>
      </c>
      <c r="E689" s="1" t="s">
        <v>1433</v>
      </c>
      <c r="F689" s="1" t="str">
        <f>HYPERLINK("https://talan.bank.gov.ua/get-user-certificate/J5325UD2m8xkxWKJWZCP","Завантажити сертифікат")</f>
        <v>Завантажити сертифікат</v>
      </c>
    </row>
    <row r="690" spans="1:6" x14ac:dyDescent="0.3">
      <c r="A690" s="2">
        <v>689</v>
      </c>
      <c r="B690" s="1" t="s">
        <v>1434</v>
      </c>
      <c r="C690" s="1" t="s">
        <v>1423</v>
      </c>
      <c r="D690" s="1" t="s">
        <v>1424</v>
      </c>
      <c r="E690" s="1" t="s">
        <v>1435</v>
      </c>
      <c r="F690" s="1" t="str">
        <f>HYPERLINK("https://talan.bank.gov.ua/get-user-certificate/J5325uF_X7bv0Cwl8p7B","Завантажити сертифікат")</f>
        <v>Завантажити сертифікат</v>
      </c>
    </row>
    <row r="691" spans="1:6" x14ac:dyDescent="0.3">
      <c r="A691" s="2">
        <v>690</v>
      </c>
      <c r="B691" s="1" t="s">
        <v>1436</v>
      </c>
      <c r="C691" s="1" t="s">
        <v>1423</v>
      </c>
      <c r="D691" s="1" t="s">
        <v>1424</v>
      </c>
      <c r="E691" s="1" t="s">
        <v>1437</v>
      </c>
      <c r="F691" s="1" t="str">
        <f>HYPERLINK("https://talan.bank.gov.ua/get-user-certificate/J5325VeLMa9x8sIaRp7s","Завантажити сертифікат")</f>
        <v>Завантажити сертифікат</v>
      </c>
    </row>
    <row r="692" spans="1:6" x14ac:dyDescent="0.3">
      <c r="A692" s="2">
        <v>691</v>
      </c>
      <c r="B692" s="1" t="s">
        <v>1438</v>
      </c>
      <c r="C692" s="1" t="s">
        <v>1423</v>
      </c>
      <c r="D692" s="1" t="s">
        <v>1424</v>
      </c>
      <c r="E692" s="1" t="s">
        <v>1439</v>
      </c>
      <c r="F692" s="1" t="str">
        <f>HYPERLINK("https://talan.bank.gov.ua/get-user-certificate/J53254L4TS_sOtYS__8W","Завантажити сертифікат")</f>
        <v>Завантажити сертифікат</v>
      </c>
    </row>
    <row r="693" spans="1:6" x14ac:dyDescent="0.3">
      <c r="A693" s="2">
        <v>692</v>
      </c>
      <c r="B693" s="1" t="s">
        <v>1440</v>
      </c>
      <c r="C693" s="1" t="s">
        <v>1423</v>
      </c>
      <c r="D693" s="1" t="s">
        <v>1424</v>
      </c>
      <c r="E693" s="1" t="s">
        <v>1441</v>
      </c>
      <c r="F693" s="1" t="str">
        <f>HYPERLINK("https://talan.bank.gov.ua/get-user-certificate/J5325Cce7xYkGiBtzKEM","Завантажити сертифікат")</f>
        <v>Завантажити сертифікат</v>
      </c>
    </row>
    <row r="694" spans="1:6" x14ac:dyDescent="0.3">
      <c r="A694" s="2">
        <v>693</v>
      </c>
      <c r="B694" s="1" t="s">
        <v>1442</v>
      </c>
      <c r="C694" s="1" t="s">
        <v>1423</v>
      </c>
      <c r="D694" s="1" t="s">
        <v>1424</v>
      </c>
      <c r="E694" s="1" t="s">
        <v>1443</v>
      </c>
      <c r="F694" s="1" t="str">
        <f>HYPERLINK("https://talan.bank.gov.ua/get-user-certificate/J5325KYXxRGtdrzD7505","Завантажити сертифікат")</f>
        <v>Завантажити сертифікат</v>
      </c>
    </row>
    <row r="695" spans="1:6" ht="28.8" x14ac:dyDescent="0.3">
      <c r="A695" s="2">
        <v>694</v>
      </c>
      <c r="B695" s="1" t="s">
        <v>1444</v>
      </c>
      <c r="C695" s="1" t="s">
        <v>1423</v>
      </c>
      <c r="D695" s="1" t="s">
        <v>1424</v>
      </c>
      <c r="E695" s="1" t="s">
        <v>1445</v>
      </c>
      <c r="F695" s="1" t="str">
        <f>HYPERLINK("https://talan.bank.gov.ua/get-user-certificate/J5325-VyQ80rK_S_20oJ","Завантажити сертифікат")</f>
        <v>Завантажити сертифікат</v>
      </c>
    </row>
    <row r="696" spans="1:6" x14ac:dyDescent="0.3">
      <c r="A696" s="2">
        <v>695</v>
      </c>
      <c r="B696" s="1" t="s">
        <v>1446</v>
      </c>
      <c r="C696" s="1" t="s">
        <v>1423</v>
      </c>
      <c r="D696" s="1" t="s">
        <v>1424</v>
      </c>
      <c r="E696" s="1" t="s">
        <v>1447</v>
      </c>
      <c r="F696" s="1" t="str">
        <f>HYPERLINK("https://talan.bank.gov.ua/get-user-certificate/J5325MPTmWVOWhXy0twY","Завантажити сертифікат")</f>
        <v>Завантажити сертифікат</v>
      </c>
    </row>
    <row r="697" spans="1:6" ht="28.8" x14ac:dyDescent="0.3">
      <c r="A697" s="2">
        <v>696</v>
      </c>
      <c r="B697" s="1" t="s">
        <v>1448</v>
      </c>
      <c r="C697" s="1" t="s">
        <v>1423</v>
      </c>
      <c r="D697" s="1" t="s">
        <v>1424</v>
      </c>
      <c r="E697" s="1" t="s">
        <v>1449</v>
      </c>
      <c r="F697" s="1" t="str">
        <f>HYPERLINK("https://talan.bank.gov.ua/get-user-certificate/J5325vM-1ebFcCRkLonx","Завантажити сертифікат")</f>
        <v>Завантажити сертифікат</v>
      </c>
    </row>
    <row r="698" spans="1:6" x14ac:dyDescent="0.3">
      <c r="A698" s="2">
        <v>697</v>
      </c>
      <c r="B698" s="1" t="s">
        <v>1450</v>
      </c>
      <c r="C698" s="1" t="s">
        <v>1423</v>
      </c>
      <c r="D698" s="1" t="s">
        <v>1424</v>
      </c>
      <c r="E698" s="1" t="s">
        <v>1451</v>
      </c>
      <c r="F698" s="1" t="str">
        <f>HYPERLINK("https://talan.bank.gov.ua/get-user-certificate/J53250M3ejtkeM1kwEXq","Завантажити сертифікат")</f>
        <v>Завантажити сертифікат</v>
      </c>
    </row>
    <row r="699" spans="1:6" ht="28.8" x14ac:dyDescent="0.3">
      <c r="A699" s="2">
        <v>698</v>
      </c>
      <c r="B699" s="1" t="s">
        <v>1452</v>
      </c>
      <c r="C699" s="1" t="s">
        <v>1453</v>
      </c>
      <c r="D699" s="1" t="s">
        <v>1454</v>
      </c>
      <c r="E699" s="1" t="s">
        <v>1455</v>
      </c>
      <c r="F699" s="1" t="str">
        <f>HYPERLINK("https://talan.bank.gov.ua/get-user-certificate/J5325S3QxuJMyFkWdjbZ","Завантажити сертифікат")</f>
        <v>Завантажити сертифікат</v>
      </c>
    </row>
    <row r="700" spans="1:6" x14ac:dyDescent="0.3">
      <c r="A700" s="2">
        <v>699</v>
      </c>
      <c r="B700" s="1" t="s">
        <v>1456</v>
      </c>
      <c r="C700" s="1" t="s">
        <v>1453</v>
      </c>
      <c r="D700" s="1" t="s">
        <v>1454</v>
      </c>
      <c r="E700" s="1" t="s">
        <v>1457</v>
      </c>
      <c r="F700" s="1" t="str">
        <f>HYPERLINK("https://talan.bank.gov.ua/get-user-certificate/J53252IdSutEihu4bl2z","Завантажити сертифікат")</f>
        <v>Завантажити сертифікат</v>
      </c>
    </row>
    <row r="701" spans="1:6" x14ac:dyDescent="0.3">
      <c r="A701" s="2">
        <v>700</v>
      </c>
      <c r="B701" s="1" t="s">
        <v>1458</v>
      </c>
      <c r="C701" s="1" t="s">
        <v>1453</v>
      </c>
      <c r="D701" s="1" t="s">
        <v>1454</v>
      </c>
      <c r="E701" s="1" t="s">
        <v>1459</v>
      </c>
      <c r="F701" s="1" t="str">
        <f>HYPERLINK("https://talan.bank.gov.ua/get-user-certificate/J5325iHRwa7Xv1QoFItO","Завантажити сертифікат")</f>
        <v>Завантажити сертифікат</v>
      </c>
    </row>
    <row r="702" spans="1:6" x14ac:dyDescent="0.3">
      <c r="A702" s="2">
        <v>701</v>
      </c>
      <c r="B702" s="1" t="s">
        <v>1460</v>
      </c>
      <c r="C702" s="1" t="s">
        <v>1453</v>
      </c>
      <c r="D702" s="1" t="s">
        <v>1454</v>
      </c>
      <c r="E702" s="1" t="s">
        <v>1461</v>
      </c>
      <c r="F702" s="1" t="str">
        <f>HYPERLINK("https://talan.bank.gov.ua/get-user-certificate/J53252-R3u-kn_GyCipu","Завантажити сертифікат")</f>
        <v>Завантажити сертифікат</v>
      </c>
    </row>
    <row r="703" spans="1:6" x14ac:dyDescent="0.3">
      <c r="A703" s="2">
        <v>702</v>
      </c>
      <c r="B703" s="1" t="s">
        <v>1462</v>
      </c>
      <c r="C703" s="1" t="s">
        <v>1453</v>
      </c>
      <c r="D703" s="1" t="s">
        <v>1454</v>
      </c>
      <c r="E703" s="1" t="s">
        <v>1463</v>
      </c>
      <c r="F703" s="1" t="str">
        <f>HYPERLINK("https://talan.bank.gov.ua/get-user-certificate/J53252w1LVyeXBoiAdiJ","Завантажити сертифікат")</f>
        <v>Завантажити сертифікат</v>
      </c>
    </row>
    <row r="704" spans="1:6" x14ac:dyDescent="0.3">
      <c r="A704" s="2">
        <v>703</v>
      </c>
      <c r="B704" s="1" t="s">
        <v>1464</v>
      </c>
      <c r="C704" s="1" t="s">
        <v>1453</v>
      </c>
      <c r="D704" s="1" t="s">
        <v>1454</v>
      </c>
      <c r="E704" s="1" t="s">
        <v>1465</v>
      </c>
      <c r="F704" s="1" t="str">
        <f>HYPERLINK("https://talan.bank.gov.ua/get-user-certificate/J5325Lp3KV2rIawsunUr","Завантажити сертифікат")</f>
        <v>Завантажити сертифікат</v>
      </c>
    </row>
    <row r="705" spans="1:6" x14ac:dyDescent="0.3">
      <c r="A705" s="2">
        <v>704</v>
      </c>
      <c r="B705" s="1" t="s">
        <v>1466</v>
      </c>
      <c r="C705" s="1" t="s">
        <v>1453</v>
      </c>
      <c r="D705" s="1" t="s">
        <v>1454</v>
      </c>
      <c r="E705" s="1" t="s">
        <v>1467</v>
      </c>
      <c r="F705" s="1" t="str">
        <f>HYPERLINK("https://talan.bank.gov.ua/get-user-certificate/J5325ovuOcPc_kLyp7b2","Завантажити сертифікат")</f>
        <v>Завантажити сертифікат</v>
      </c>
    </row>
    <row r="706" spans="1:6" x14ac:dyDescent="0.3">
      <c r="A706" s="2">
        <v>705</v>
      </c>
      <c r="B706" s="1" t="s">
        <v>1468</v>
      </c>
      <c r="C706" s="1" t="s">
        <v>1453</v>
      </c>
      <c r="D706" s="1" t="s">
        <v>1454</v>
      </c>
      <c r="E706" s="1" t="s">
        <v>1469</v>
      </c>
      <c r="F706" s="1" t="str">
        <f>HYPERLINK("https://talan.bank.gov.ua/get-user-certificate/J5325EREnxLlRpJBAC9P","Завантажити сертифікат")</f>
        <v>Завантажити сертифікат</v>
      </c>
    </row>
    <row r="707" spans="1:6" x14ac:dyDescent="0.3">
      <c r="A707" s="2">
        <v>706</v>
      </c>
      <c r="B707" s="1" t="s">
        <v>1470</v>
      </c>
      <c r="C707" s="1" t="s">
        <v>1453</v>
      </c>
      <c r="D707" s="1" t="s">
        <v>1454</v>
      </c>
      <c r="E707" s="1" t="s">
        <v>1471</v>
      </c>
      <c r="F707" s="1" t="str">
        <f>HYPERLINK("https://talan.bank.gov.ua/get-user-certificate/J5325li9nrSfLtuO7BrO","Завантажити сертифікат")</f>
        <v>Завантажити сертифікат</v>
      </c>
    </row>
    <row r="708" spans="1:6" x14ac:dyDescent="0.3">
      <c r="A708" s="2">
        <v>707</v>
      </c>
      <c r="B708" s="1" t="s">
        <v>1472</v>
      </c>
      <c r="C708" s="1" t="s">
        <v>1453</v>
      </c>
      <c r="D708" s="1" t="s">
        <v>1454</v>
      </c>
      <c r="E708" s="1" t="s">
        <v>1473</v>
      </c>
      <c r="F708" s="1" t="str">
        <f>HYPERLINK("https://talan.bank.gov.ua/get-user-certificate/J5325x1UtcjkMpfdnGfM","Завантажити сертифікат")</f>
        <v>Завантажити сертифікат</v>
      </c>
    </row>
    <row r="709" spans="1:6" x14ac:dyDescent="0.3">
      <c r="A709" s="2">
        <v>708</v>
      </c>
      <c r="B709" s="1" t="s">
        <v>1474</v>
      </c>
      <c r="C709" s="1" t="s">
        <v>1453</v>
      </c>
      <c r="D709" s="1" t="s">
        <v>1454</v>
      </c>
      <c r="E709" s="1" t="s">
        <v>1475</v>
      </c>
      <c r="F709" s="1" t="str">
        <f>HYPERLINK("https://talan.bank.gov.ua/get-user-certificate/J5325-nXiujwDwYLNM2y","Завантажити сертифікат")</f>
        <v>Завантажити сертифікат</v>
      </c>
    </row>
    <row r="710" spans="1:6" x14ac:dyDescent="0.3">
      <c r="A710" s="2">
        <v>709</v>
      </c>
      <c r="B710" s="1" t="s">
        <v>1476</v>
      </c>
      <c r="C710" s="1" t="s">
        <v>1453</v>
      </c>
      <c r="D710" s="1" t="s">
        <v>1454</v>
      </c>
      <c r="E710" s="1" t="s">
        <v>1477</v>
      </c>
      <c r="F710" s="1" t="str">
        <f>HYPERLINK("https://talan.bank.gov.ua/get-user-certificate/J5325k02umDKW6g9JF8M","Завантажити сертифікат")</f>
        <v>Завантажити сертифікат</v>
      </c>
    </row>
    <row r="711" spans="1:6" x14ac:dyDescent="0.3">
      <c r="A711" s="2">
        <v>710</v>
      </c>
      <c r="B711" s="1" t="s">
        <v>1478</v>
      </c>
      <c r="C711" s="1" t="s">
        <v>1453</v>
      </c>
      <c r="D711" s="1" t="s">
        <v>1454</v>
      </c>
      <c r="E711" s="1" t="s">
        <v>1479</v>
      </c>
      <c r="F711" s="1" t="str">
        <f>HYPERLINK("https://talan.bank.gov.ua/get-user-certificate/J5325k5nT1O-Kkxo9SDx","Завантажити сертифікат")</f>
        <v>Завантажити сертифікат</v>
      </c>
    </row>
    <row r="712" spans="1:6" x14ac:dyDescent="0.3">
      <c r="A712" s="2">
        <v>711</v>
      </c>
      <c r="B712" s="1" t="s">
        <v>1480</v>
      </c>
      <c r="C712" s="1" t="s">
        <v>1453</v>
      </c>
      <c r="D712" s="1" t="s">
        <v>1454</v>
      </c>
      <c r="E712" s="1" t="s">
        <v>1481</v>
      </c>
      <c r="F712" s="1" t="str">
        <f>HYPERLINK("https://talan.bank.gov.ua/get-user-certificate/J5325KaWF55hsUncBFJt","Завантажити сертифікат")</f>
        <v>Завантажити сертифікат</v>
      </c>
    </row>
    <row r="713" spans="1:6" x14ac:dyDescent="0.3">
      <c r="A713" s="2">
        <v>712</v>
      </c>
      <c r="B713" s="1" t="s">
        <v>1482</v>
      </c>
      <c r="C713" s="1" t="s">
        <v>1453</v>
      </c>
      <c r="D713" s="1" t="s">
        <v>1454</v>
      </c>
      <c r="E713" s="1" t="s">
        <v>1483</v>
      </c>
      <c r="F713" s="1" t="str">
        <f>HYPERLINK("https://talan.bank.gov.ua/get-user-certificate/J5325aUP2ACxpzayNDX4","Завантажити сертифікат")</f>
        <v>Завантажити сертифікат</v>
      </c>
    </row>
    <row r="714" spans="1:6" x14ac:dyDescent="0.3">
      <c r="A714" s="2">
        <v>713</v>
      </c>
      <c r="B714" s="1" t="s">
        <v>1484</v>
      </c>
      <c r="C714" s="1" t="s">
        <v>1453</v>
      </c>
      <c r="D714" s="1" t="s">
        <v>1454</v>
      </c>
      <c r="E714" s="1" t="s">
        <v>1485</v>
      </c>
      <c r="F714" s="1" t="str">
        <f>HYPERLINK("https://talan.bank.gov.ua/get-user-certificate/J5325KgmSEsl_PZEfLi1","Завантажити сертифікат")</f>
        <v>Завантажити сертифікат</v>
      </c>
    </row>
    <row r="715" spans="1:6" x14ac:dyDescent="0.3">
      <c r="A715" s="2">
        <v>714</v>
      </c>
      <c r="B715" s="1" t="s">
        <v>1486</v>
      </c>
      <c r="C715" s="1" t="s">
        <v>1487</v>
      </c>
      <c r="D715" s="1" t="s">
        <v>1488</v>
      </c>
      <c r="E715" s="1" t="s">
        <v>1489</v>
      </c>
      <c r="F715" s="1" t="str">
        <f>HYPERLINK("https://talan.bank.gov.ua/get-user-certificate/J5325Cn16IuMlpG4n977","Завантажити сертифікат")</f>
        <v>Завантажити сертифікат</v>
      </c>
    </row>
    <row r="716" spans="1:6" x14ac:dyDescent="0.3">
      <c r="A716" s="2">
        <v>715</v>
      </c>
      <c r="B716" s="1" t="s">
        <v>1490</v>
      </c>
      <c r="C716" s="1" t="s">
        <v>1487</v>
      </c>
      <c r="D716" s="1" t="s">
        <v>1488</v>
      </c>
      <c r="E716" s="1" t="s">
        <v>1491</v>
      </c>
      <c r="F716" s="1" t="str">
        <f>HYPERLINK("https://talan.bank.gov.ua/get-user-certificate/J5325Odc3-6m5JIB6Ca1","Завантажити сертифікат")</f>
        <v>Завантажити сертифікат</v>
      </c>
    </row>
    <row r="717" spans="1:6" x14ac:dyDescent="0.3">
      <c r="A717" s="2">
        <v>716</v>
      </c>
      <c r="B717" s="1" t="s">
        <v>1492</v>
      </c>
      <c r="C717" s="1" t="s">
        <v>1487</v>
      </c>
      <c r="D717" s="1" t="s">
        <v>1488</v>
      </c>
      <c r="E717" s="1" t="s">
        <v>1493</v>
      </c>
      <c r="F717" s="1" t="str">
        <f>HYPERLINK("https://talan.bank.gov.ua/get-user-certificate/J5325TqMrYFeYxLA2sBn","Завантажити сертифікат")</f>
        <v>Завантажити сертифікат</v>
      </c>
    </row>
    <row r="718" spans="1:6" x14ac:dyDescent="0.3">
      <c r="A718" s="2">
        <v>717</v>
      </c>
      <c r="B718" s="1" t="s">
        <v>1494</v>
      </c>
      <c r="C718" s="1" t="s">
        <v>1487</v>
      </c>
      <c r="D718" s="1" t="s">
        <v>1488</v>
      </c>
      <c r="E718" s="1" t="s">
        <v>1495</v>
      </c>
      <c r="F718" s="1" t="str">
        <f>HYPERLINK("https://talan.bank.gov.ua/get-user-certificate/J5325ywkC-RaZJ7TCNnk","Завантажити сертифікат")</f>
        <v>Завантажити сертифікат</v>
      </c>
    </row>
    <row r="719" spans="1:6" x14ac:dyDescent="0.3">
      <c r="A719" s="2">
        <v>718</v>
      </c>
      <c r="B719" s="1" t="s">
        <v>1496</v>
      </c>
      <c r="C719" s="1" t="s">
        <v>1487</v>
      </c>
      <c r="D719" s="1" t="s">
        <v>1488</v>
      </c>
      <c r="E719" s="1" t="s">
        <v>1497</v>
      </c>
      <c r="F719" s="1" t="str">
        <f>HYPERLINK("https://talan.bank.gov.ua/get-user-certificate/J5325lggAOCAwhoTKO6N","Завантажити сертифікат")</f>
        <v>Завантажити сертифікат</v>
      </c>
    </row>
    <row r="720" spans="1:6" x14ac:dyDescent="0.3">
      <c r="A720" s="2">
        <v>719</v>
      </c>
      <c r="B720" s="1" t="s">
        <v>1498</v>
      </c>
      <c r="C720" s="1" t="s">
        <v>1487</v>
      </c>
      <c r="D720" s="1" t="s">
        <v>1488</v>
      </c>
      <c r="E720" s="1" t="s">
        <v>1499</v>
      </c>
      <c r="F720" s="1" t="str">
        <f>HYPERLINK("https://talan.bank.gov.ua/get-user-certificate/J5325iDUhtCeeJikXL78","Завантажити сертифікат")</f>
        <v>Завантажити сертифікат</v>
      </c>
    </row>
    <row r="721" spans="1:6" x14ac:dyDescent="0.3">
      <c r="A721" s="2">
        <v>720</v>
      </c>
      <c r="B721" s="1" t="s">
        <v>1500</v>
      </c>
      <c r="C721" s="1" t="s">
        <v>1487</v>
      </c>
      <c r="D721" s="1" t="s">
        <v>1488</v>
      </c>
      <c r="E721" s="1" t="s">
        <v>1501</v>
      </c>
      <c r="F721" s="1" t="str">
        <f>HYPERLINK("https://talan.bank.gov.ua/get-user-certificate/J5325SVXzklFkETVSQbE","Завантажити сертифікат")</f>
        <v>Завантажити сертифікат</v>
      </c>
    </row>
    <row r="722" spans="1:6" x14ac:dyDescent="0.3">
      <c r="A722" s="2">
        <v>721</v>
      </c>
      <c r="B722" s="1" t="s">
        <v>1502</v>
      </c>
      <c r="C722" s="1" t="s">
        <v>1487</v>
      </c>
      <c r="D722" s="1" t="s">
        <v>1488</v>
      </c>
      <c r="E722" s="1" t="s">
        <v>1503</v>
      </c>
      <c r="F722" s="1" t="str">
        <f>HYPERLINK("https://talan.bank.gov.ua/get-user-certificate/J5325x2_C9wdJkxXje-o","Завантажити сертифікат")</f>
        <v>Завантажити сертифікат</v>
      </c>
    </row>
    <row r="723" spans="1:6" x14ac:dyDescent="0.3">
      <c r="A723" s="2">
        <v>722</v>
      </c>
      <c r="B723" s="1" t="s">
        <v>1504</v>
      </c>
      <c r="C723" s="1" t="s">
        <v>1487</v>
      </c>
      <c r="D723" s="1" t="s">
        <v>1488</v>
      </c>
      <c r="E723" s="1" t="s">
        <v>1505</v>
      </c>
      <c r="F723" s="1" t="str">
        <f>HYPERLINK("https://talan.bank.gov.ua/get-user-certificate/J5325E1FPWA3wk_ZSBqp","Завантажити сертифікат")</f>
        <v>Завантажити сертифікат</v>
      </c>
    </row>
    <row r="724" spans="1:6" ht="28.8" x14ac:dyDescent="0.3">
      <c r="A724" s="2">
        <v>723</v>
      </c>
      <c r="B724" s="1" t="s">
        <v>1506</v>
      </c>
      <c r="C724" s="1" t="s">
        <v>1487</v>
      </c>
      <c r="D724" s="1" t="s">
        <v>1488</v>
      </c>
      <c r="E724" s="1" t="s">
        <v>1507</v>
      </c>
      <c r="F724" s="1" t="str">
        <f>HYPERLINK("https://talan.bank.gov.ua/get-user-certificate/J5325m_DuK4ruqzm7mW5","Завантажити сертифікат")</f>
        <v>Завантажити сертифікат</v>
      </c>
    </row>
    <row r="725" spans="1:6" x14ac:dyDescent="0.3">
      <c r="A725" s="2">
        <v>724</v>
      </c>
      <c r="B725" s="1" t="s">
        <v>1508</v>
      </c>
      <c r="C725" s="1" t="s">
        <v>1487</v>
      </c>
      <c r="D725" s="1" t="s">
        <v>1488</v>
      </c>
      <c r="E725" s="1" t="s">
        <v>1509</v>
      </c>
      <c r="F725" s="1" t="str">
        <f>HYPERLINK("https://talan.bank.gov.ua/get-user-certificate/J5325rcgvM0hixXDDCFZ","Завантажити сертифікат")</f>
        <v>Завантажити сертифікат</v>
      </c>
    </row>
    <row r="726" spans="1:6" x14ac:dyDescent="0.3">
      <c r="A726" s="2">
        <v>725</v>
      </c>
      <c r="B726" s="1" t="s">
        <v>1510</v>
      </c>
      <c r="C726" s="1" t="s">
        <v>1487</v>
      </c>
      <c r="D726" s="1" t="s">
        <v>1488</v>
      </c>
      <c r="E726" s="1" t="s">
        <v>1511</v>
      </c>
      <c r="F726" s="1" t="str">
        <f>HYPERLINK("https://talan.bank.gov.ua/get-user-certificate/J5325uAxYdD4a8y4eZLz","Завантажити сертифікат")</f>
        <v>Завантажити сертифікат</v>
      </c>
    </row>
    <row r="727" spans="1:6" x14ac:dyDescent="0.3">
      <c r="A727" s="2">
        <v>726</v>
      </c>
      <c r="B727" s="1" t="s">
        <v>1512</v>
      </c>
      <c r="C727" s="1" t="s">
        <v>1487</v>
      </c>
      <c r="D727" s="1" t="s">
        <v>1488</v>
      </c>
      <c r="E727" s="1" t="s">
        <v>1513</v>
      </c>
      <c r="F727" s="1" t="str">
        <f>HYPERLINK("https://talan.bank.gov.ua/get-user-certificate/J5325JTx8p2KXMpFi-3V","Завантажити сертифікат")</f>
        <v>Завантажити сертифікат</v>
      </c>
    </row>
    <row r="728" spans="1:6" x14ac:dyDescent="0.3">
      <c r="A728" s="2">
        <v>727</v>
      </c>
      <c r="B728" s="1" t="s">
        <v>1514</v>
      </c>
      <c r="C728" s="1" t="s">
        <v>1487</v>
      </c>
      <c r="D728" s="1" t="s">
        <v>1488</v>
      </c>
      <c r="E728" s="1" t="s">
        <v>1515</v>
      </c>
      <c r="F728" s="1" t="str">
        <f>HYPERLINK("https://talan.bank.gov.ua/get-user-certificate/J53256rhQhFx0lpZ7dsW","Завантажити сертифікат")</f>
        <v>Завантажити сертифікат</v>
      </c>
    </row>
    <row r="729" spans="1:6" x14ac:dyDescent="0.3">
      <c r="A729" s="2">
        <v>728</v>
      </c>
      <c r="B729" s="1" t="s">
        <v>1516</v>
      </c>
      <c r="C729" s="1" t="s">
        <v>1487</v>
      </c>
      <c r="D729" s="1" t="s">
        <v>1488</v>
      </c>
      <c r="E729" s="1" t="s">
        <v>1517</v>
      </c>
      <c r="F729" s="1" t="str">
        <f>HYPERLINK("https://talan.bank.gov.ua/get-user-certificate/J5325I_SMp6aCKt9mm6T","Завантажити сертифікат")</f>
        <v>Завантажити сертифікат</v>
      </c>
    </row>
    <row r="730" spans="1:6" x14ac:dyDescent="0.3">
      <c r="A730" s="2">
        <v>729</v>
      </c>
      <c r="B730" s="1" t="s">
        <v>1518</v>
      </c>
      <c r="C730" s="1" t="s">
        <v>1487</v>
      </c>
      <c r="D730" s="1" t="s">
        <v>1488</v>
      </c>
      <c r="E730" s="1" t="s">
        <v>1519</v>
      </c>
      <c r="F730" s="1" t="str">
        <f>HYPERLINK("https://talan.bank.gov.ua/get-user-certificate/J5325xhKIff5WwkzINAF","Завантажити сертифікат")</f>
        <v>Завантажити сертифікат</v>
      </c>
    </row>
    <row r="731" spans="1:6" x14ac:dyDescent="0.3">
      <c r="A731" s="2">
        <v>730</v>
      </c>
      <c r="B731" s="1" t="s">
        <v>1520</v>
      </c>
      <c r="C731" s="1" t="s">
        <v>1487</v>
      </c>
      <c r="D731" s="1" t="s">
        <v>1488</v>
      </c>
      <c r="E731" s="1" t="s">
        <v>1521</v>
      </c>
      <c r="F731" s="1" t="str">
        <f>HYPERLINK("https://talan.bank.gov.ua/get-user-certificate/J5325XipVs0xK9UeuhNM","Завантажити сертифікат")</f>
        <v>Завантажити сертифікат</v>
      </c>
    </row>
    <row r="732" spans="1:6" x14ac:dyDescent="0.3">
      <c r="A732" s="2">
        <v>731</v>
      </c>
      <c r="B732" s="1" t="s">
        <v>1522</v>
      </c>
      <c r="C732" s="1" t="s">
        <v>1487</v>
      </c>
      <c r="D732" s="1" t="s">
        <v>1488</v>
      </c>
      <c r="E732" s="1" t="s">
        <v>1523</v>
      </c>
      <c r="F732" s="1" t="str">
        <f>HYPERLINK("https://talan.bank.gov.ua/get-user-certificate/J5325qZrsKtxOtdC2V8X","Завантажити сертифікат")</f>
        <v>Завантажити сертифікат</v>
      </c>
    </row>
    <row r="733" spans="1:6" x14ac:dyDescent="0.3">
      <c r="A733" s="2">
        <v>732</v>
      </c>
      <c r="B733" s="1" t="s">
        <v>1524</v>
      </c>
      <c r="C733" s="1" t="s">
        <v>1487</v>
      </c>
      <c r="D733" s="1" t="s">
        <v>1488</v>
      </c>
      <c r="E733" s="1" t="s">
        <v>1525</v>
      </c>
      <c r="F733" s="1" t="str">
        <f>HYPERLINK("https://talan.bank.gov.ua/get-user-certificate/J5325AxY6TACzMIT2K7T","Завантажити сертифікат")</f>
        <v>Завантажити сертифікат</v>
      </c>
    </row>
    <row r="734" spans="1:6" x14ac:dyDescent="0.3">
      <c r="A734" s="2">
        <v>733</v>
      </c>
      <c r="B734" s="1" t="s">
        <v>1526</v>
      </c>
      <c r="C734" s="1" t="s">
        <v>1487</v>
      </c>
      <c r="D734" s="1" t="s">
        <v>1488</v>
      </c>
      <c r="E734" s="1" t="s">
        <v>1527</v>
      </c>
      <c r="F734" s="1" t="str">
        <f>HYPERLINK("https://talan.bank.gov.ua/get-user-certificate/J5325sLAW-mwgdbWQJ8A","Завантажити сертифікат")</f>
        <v>Завантажити сертифікат</v>
      </c>
    </row>
    <row r="735" spans="1:6" x14ac:dyDescent="0.3">
      <c r="A735" s="2">
        <v>734</v>
      </c>
      <c r="B735" s="1" t="s">
        <v>1528</v>
      </c>
      <c r="C735" s="1" t="s">
        <v>1487</v>
      </c>
      <c r="D735" s="1" t="s">
        <v>1488</v>
      </c>
      <c r="E735" s="1" t="s">
        <v>1529</v>
      </c>
      <c r="F735" s="1" t="str">
        <f>HYPERLINK("https://talan.bank.gov.ua/get-user-certificate/J5325LHkj1aerzJ7qjST","Завантажити сертифікат")</f>
        <v>Завантажити сертифікат</v>
      </c>
    </row>
    <row r="736" spans="1:6" x14ac:dyDescent="0.3">
      <c r="A736" s="2">
        <v>735</v>
      </c>
      <c r="B736" s="1" t="s">
        <v>1530</v>
      </c>
      <c r="C736" s="1" t="s">
        <v>1487</v>
      </c>
      <c r="D736" s="1" t="s">
        <v>1488</v>
      </c>
      <c r="E736" s="1" t="s">
        <v>1531</v>
      </c>
      <c r="F736" s="1" t="str">
        <f>HYPERLINK("https://talan.bank.gov.ua/get-user-certificate/J5325zC2fy4hfIStmHy4","Завантажити сертифікат")</f>
        <v>Завантажити сертифікат</v>
      </c>
    </row>
    <row r="737" spans="1:6" x14ac:dyDescent="0.3">
      <c r="A737" s="2">
        <v>736</v>
      </c>
      <c r="B737" s="1" t="s">
        <v>1532</v>
      </c>
      <c r="C737" s="1" t="s">
        <v>1487</v>
      </c>
      <c r="D737" s="1" t="s">
        <v>1488</v>
      </c>
      <c r="E737" s="1" t="s">
        <v>1533</v>
      </c>
      <c r="F737" s="1" t="str">
        <f>HYPERLINK("https://talan.bank.gov.ua/get-user-certificate/J5325-43qiVjg261JKKd","Завантажити сертифікат")</f>
        <v>Завантажити сертифікат</v>
      </c>
    </row>
    <row r="738" spans="1:6" x14ac:dyDescent="0.3">
      <c r="A738" s="2">
        <v>737</v>
      </c>
      <c r="B738" s="1" t="s">
        <v>1534</v>
      </c>
      <c r="C738" s="1" t="s">
        <v>1487</v>
      </c>
      <c r="D738" s="1" t="s">
        <v>1488</v>
      </c>
      <c r="E738" s="1" t="s">
        <v>1535</v>
      </c>
      <c r="F738" s="1" t="str">
        <f>HYPERLINK("https://talan.bank.gov.ua/get-user-certificate/J5325ByKL_ctjayUCMUT","Завантажити сертифікат")</f>
        <v>Завантажити сертифікат</v>
      </c>
    </row>
    <row r="739" spans="1:6" x14ac:dyDescent="0.3">
      <c r="A739" s="2">
        <v>738</v>
      </c>
      <c r="B739" s="1" t="s">
        <v>1536</v>
      </c>
      <c r="C739" s="1" t="s">
        <v>1487</v>
      </c>
      <c r="D739" s="1" t="s">
        <v>1488</v>
      </c>
      <c r="E739" s="1" t="s">
        <v>1537</v>
      </c>
      <c r="F739" s="1" t="str">
        <f>HYPERLINK("https://talan.bank.gov.ua/get-user-certificate/J5325RFYnuTw45JqNY7O","Завантажити сертифікат")</f>
        <v>Завантажити сертифікат</v>
      </c>
    </row>
    <row r="740" spans="1:6" x14ac:dyDescent="0.3">
      <c r="A740" s="2">
        <v>739</v>
      </c>
      <c r="B740" s="1" t="s">
        <v>1538</v>
      </c>
      <c r="C740" s="1" t="s">
        <v>1487</v>
      </c>
      <c r="D740" s="1" t="s">
        <v>1488</v>
      </c>
      <c r="E740" s="1" t="s">
        <v>1539</v>
      </c>
      <c r="F740" s="1" t="str">
        <f>HYPERLINK("https://talan.bank.gov.ua/get-user-certificate/J5325zwDYR8N2k5h_ZBv","Завантажити сертифікат")</f>
        <v>Завантажити сертифікат</v>
      </c>
    </row>
    <row r="741" spans="1:6" x14ac:dyDescent="0.3">
      <c r="A741" s="2">
        <v>740</v>
      </c>
      <c r="B741" s="1" t="s">
        <v>1540</v>
      </c>
      <c r="C741" s="1" t="s">
        <v>1487</v>
      </c>
      <c r="D741" s="1" t="s">
        <v>1488</v>
      </c>
      <c r="E741" s="1" t="s">
        <v>1541</v>
      </c>
      <c r="F741" s="1" t="str">
        <f>HYPERLINK("https://talan.bank.gov.ua/get-user-certificate/J5325sLg8cGktsOfO3UP","Завантажити сертифікат")</f>
        <v>Завантажити сертифікат</v>
      </c>
    </row>
    <row r="742" spans="1:6" x14ac:dyDescent="0.3">
      <c r="A742" s="2">
        <v>741</v>
      </c>
      <c r="B742" s="1" t="s">
        <v>1542</v>
      </c>
      <c r="C742" s="1" t="s">
        <v>1487</v>
      </c>
      <c r="D742" s="1" t="s">
        <v>1488</v>
      </c>
      <c r="E742" s="1" t="s">
        <v>1543</v>
      </c>
      <c r="F742" s="1" t="str">
        <f>HYPERLINK("https://talan.bank.gov.ua/get-user-certificate/J53253GFXda8UtdLeuT-","Завантажити сертифікат")</f>
        <v>Завантажити сертифікат</v>
      </c>
    </row>
    <row r="743" spans="1:6" x14ac:dyDescent="0.3">
      <c r="A743" s="2">
        <v>742</v>
      </c>
      <c r="B743" s="1" t="s">
        <v>1544</v>
      </c>
      <c r="C743" s="1" t="s">
        <v>1487</v>
      </c>
      <c r="D743" s="1" t="s">
        <v>1488</v>
      </c>
      <c r="E743" s="1" t="s">
        <v>1545</v>
      </c>
      <c r="F743" s="1" t="str">
        <f>HYPERLINK("https://talan.bank.gov.ua/get-user-certificate/J5325VwAg7a35xEz7fAj","Завантажити сертифікат")</f>
        <v>Завантажити сертифікат</v>
      </c>
    </row>
    <row r="744" spans="1:6" x14ac:dyDescent="0.3">
      <c r="A744" s="2">
        <v>743</v>
      </c>
      <c r="B744" s="1" t="s">
        <v>1546</v>
      </c>
      <c r="C744" s="1" t="s">
        <v>1487</v>
      </c>
      <c r="D744" s="1" t="s">
        <v>1488</v>
      </c>
      <c r="E744" s="1" t="s">
        <v>1547</v>
      </c>
      <c r="F744" s="1" t="str">
        <f>HYPERLINK("https://talan.bank.gov.ua/get-user-certificate/J5325x6HvbkbHdruMEVP","Завантажити сертифікат")</f>
        <v>Завантажити сертифікат</v>
      </c>
    </row>
    <row r="745" spans="1:6" ht="28.8" x14ac:dyDescent="0.3">
      <c r="A745" s="2">
        <v>744</v>
      </c>
      <c r="B745" s="1" t="s">
        <v>1548</v>
      </c>
      <c r="C745" s="1" t="s">
        <v>1487</v>
      </c>
      <c r="D745" s="1" t="s">
        <v>1488</v>
      </c>
      <c r="E745" s="1" t="s">
        <v>1549</v>
      </c>
      <c r="F745" s="1" t="str">
        <f>HYPERLINK("https://talan.bank.gov.ua/get-user-certificate/J5325brGnaaxBBBj6w7s","Завантажити сертифікат")</f>
        <v>Завантажити сертифікат</v>
      </c>
    </row>
    <row r="746" spans="1:6" x14ac:dyDescent="0.3">
      <c r="A746" s="2">
        <v>745</v>
      </c>
      <c r="B746" s="1" t="s">
        <v>1550</v>
      </c>
      <c r="C746" s="1" t="s">
        <v>1487</v>
      </c>
      <c r="D746" s="1" t="s">
        <v>1488</v>
      </c>
      <c r="E746" s="1" t="s">
        <v>1551</v>
      </c>
      <c r="F746" s="1" t="str">
        <f>HYPERLINK("https://talan.bank.gov.ua/get-user-certificate/J5325tyuqcPLNl6WFvqm","Завантажити сертифікат")</f>
        <v>Завантажити сертифікат</v>
      </c>
    </row>
    <row r="747" spans="1:6" x14ac:dyDescent="0.3">
      <c r="A747" s="2">
        <v>746</v>
      </c>
      <c r="B747" s="1" t="s">
        <v>1552</v>
      </c>
      <c r="C747" s="1" t="s">
        <v>1487</v>
      </c>
      <c r="D747" s="1" t="s">
        <v>1488</v>
      </c>
      <c r="E747" s="1" t="s">
        <v>1553</v>
      </c>
      <c r="F747" s="1" t="str">
        <f>HYPERLINK("https://talan.bank.gov.ua/get-user-certificate/J5325fNBoGEcQDzsm8_l","Завантажити сертифікат")</f>
        <v>Завантажити сертифікат</v>
      </c>
    </row>
    <row r="748" spans="1:6" x14ac:dyDescent="0.3">
      <c r="A748" s="2">
        <v>747</v>
      </c>
      <c r="B748" s="1" t="s">
        <v>1554</v>
      </c>
      <c r="C748" s="1" t="s">
        <v>1487</v>
      </c>
      <c r="D748" s="1" t="s">
        <v>1488</v>
      </c>
      <c r="E748" s="1" t="s">
        <v>1555</v>
      </c>
      <c r="F748" s="1" t="str">
        <f>HYPERLINK("https://talan.bank.gov.ua/get-user-certificate/J5325JfWDklZACHTQ0Bu","Завантажити сертифікат")</f>
        <v>Завантажити сертифікат</v>
      </c>
    </row>
    <row r="749" spans="1:6" x14ac:dyDescent="0.3">
      <c r="A749" s="2">
        <v>748</v>
      </c>
      <c r="B749" s="1" t="s">
        <v>1556</v>
      </c>
      <c r="C749" s="1" t="s">
        <v>1487</v>
      </c>
      <c r="D749" s="1" t="s">
        <v>1488</v>
      </c>
      <c r="E749" s="1" t="s">
        <v>1557</v>
      </c>
      <c r="F749" s="1" t="str">
        <f>HYPERLINK("https://talan.bank.gov.ua/get-user-certificate/J5325Q9sukP36l9qK55o","Завантажити сертифікат")</f>
        <v>Завантажити сертифікат</v>
      </c>
    </row>
    <row r="750" spans="1:6" x14ac:dyDescent="0.3">
      <c r="A750" s="2">
        <v>749</v>
      </c>
      <c r="B750" s="1" t="s">
        <v>1558</v>
      </c>
      <c r="C750" s="1" t="s">
        <v>1559</v>
      </c>
      <c r="D750" s="1" t="s">
        <v>1560</v>
      </c>
      <c r="E750" s="1" t="s">
        <v>1561</v>
      </c>
      <c r="F750" s="1" t="str">
        <f>HYPERLINK("https://talan.bank.gov.ua/get-user-certificate/J5325scM3sHv6szzHaoO","Завантажити сертифікат")</f>
        <v>Завантажити сертифікат</v>
      </c>
    </row>
    <row r="751" spans="1:6" x14ac:dyDescent="0.3">
      <c r="A751" s="2">
        <v>750</v>
      </c>
      <c r="B751" s="1" t="s">
        <v>1562</v>
      </c>
      <c r="C751" s="1" t="s">
        <v>1559</v>
      </c>
      <c r="D751" s="1" t="s">
        <v>1560</v>
      </c>
      <c r="E751" s="1" t="s">
        <v>1563</v>
      </c>
      <c r="F751" s="1" t="str">
        <f>HYPERLINK("https://talan.bank.gov.ua/get-user-certificate/J5325Vqx5KFGkgMpkQwp","Завантажити сертифікат")</f>
        <v>Завантажити сертифікат</v>
      </c>
    </row>
    <row r="752" spans="1:6" x14ac:dyDescent="0.3">
      <c r="A752" s="2">
        <v>751</v>
      </c>
      <c r="B752" s="1" t="s">
        <v>1564</v>
      </c>
      <c r="C752" s="1" t="s">
        <v>1559</v>
      </c>
      <c r="D752" s="1" t="s">
        <v>1560</v>
      </c>
      <c r="E752" s="1" t="s">
        <v>1565</v>
      </c>
      <c r="F752" s="1" t="str">
        <f>HYPERLINK("https://talan.bank.gov.ua/get-user-certificate/J5325f1Leg1oIT-UVw03","Завантажити сертифікат")</f>
        <v>Завантажити сертифікат</v>
      </c>
    </row>
    <row r="753" spans="1:6" x14ac:dyDescent="0.3">
      <c r="A753" s="2">
        <v>752</v>
      </c>
      <c r="B753" s="1" t="s">
        <v>1566</v>
      </c>
      <c r="C753" s="1" t="s">
        <v>1559</v>
      </c>
      <c r="D753" s="1" t="s">
        <v>1560</v>
      </c>
      <c r="E753" s="1" t="s">
        <v>1567</v>
      </c>
      <c r="F753" s="1" t="str">
        <f>HYPERLINK("https://talan.bank.gov.ua/get-user-certificate/J5325VH7QKnsCpU2t9k6","Завантажити сертифікат")</f>
        <v>Завантажити сертифікат</v>
      </c>
    </row>
    <row r="754" spans="1:6" x14ac:dyDescent="0.3">
      <c r="A754" s="2">
        <v>753</v>
      </c>
      <c r="B754" s="1" t="s">
        <v>1568</v>
      </c>
      <c r="C754" s="1" t="s">
        <v>1559</v>
      </c>
      <c r="D754" s="1" t="s">
        <v>1560</v>
      </c>
      <c r="E754" s="1" t="s">
        <v>1569</v>
      </c>
      <c r="F754" s="1" t="str">
        <f>HYPERLINK("https://talan.bank.gov.ua/get-user-certificate/J53259haCC8_3bUQbDOO","Завантажити сертифікат")</f>
        <v>Завантажити сертифікат</v>
      </c>
    </row>
    <row r="755" spans="1:6" x14ac:dyDescent="0.3">
      <c r="A755" s="2">
        <v>754</v>
      </c>
      <c r="B755" s="1" t="s">
        <v>1570</v>
      </c>
      <c r="C755" s="1" t="s">
        <v>1559</v>
      </c>
      <c r="D755" s="1" t="s">
        <v>1560</v>
      </c>
      <c r="E755" s="1" t="s">
        <v>1571</v>
      </c>
      <c r="F755" s="1" t="str">
        <f>HYPERLINK("https://talan.bank.gov.ua/get-user-certificate/J5325i8kYa5JzxrVhi52","Завантажити сертифікат")</f>
        <v>Завантажити сертифікат</v>
      </c>
    </row>
    <row r="756" spans="1:6" x14ac:dyDescent="0.3">
      <c r="A756" s="2">
        <v>755</v>
      </c>
      <c r="B756" s="1" t="s">
        <v>1572</v>
      </c>
      <c r="C756" s="1" t="s">
        <v>1573</v>
      </c>
      <c r="D756" s="1" t="s">
        <v>1574</v>
      </c>
      <c r="E756" s="1" t="s">
        <v>1575</v>
      </c>
      <c r="F756" s="1" t="str">
        <f>HYPERLINK("https://talan.bank.gov.ua/get-user-certificate/J5325ZEhc5i1nqyt-6L3","Завантажити сертифікат")</f>
        <v>Завантажити сертифікат</v>
      </c>
    </row>
    <row r="757" spans="1:6" x14ac:dyDescent="0.3">
      <c r="A757" s="2">
        <v>756</v>
      </c>
      <c r="B757" s="1" t="s">
        <v>1576</v>
      </c>
      <c r="C757" s="1" t="s">
        <v>1573</v>
      </c>
      <c r="D757" s="1" t="s">
        <v>1574</v>
      </c>
      <c r="E757" s="1" t="s">
        <v>1577</v>
      </c>
      <c r="F757" s="1" t="str">
        <f>HYPERLINK("https://talan.bank.gov.ua/get-user-certificate/J5325UtKW2lWVKpIJHHK","Завантажити сертифікат")</f>
        <v>Завантажити сертифікат</v>
      </c>
    </row>
    <row r="758" spans="1:6" x14ac:dyDescent="0.3">
      <c r="A758" s="2">
        <v>757</v>
      </c>
      <c r="B758" s="1" t="s">
        <v>1578</v>
      </c>
      <c r="C758" s="1" t="s">
        <v>1573</v>
      </c>
      <c r="D758" s="1" t="s">
        <v>1574</v>
      </c>
      <c r="E758" s="1" t="s">
        <v>1579</v>
      </c>
      <c r="F758" s="1" t="str">
        <f>HYPERLINK("https://talan.bank.gov.ua/get-user-certificate/J53255l50aC93yMB7xhA","Завантажити сертифікат")</f>
        <v>Завантажити сертифікат</v>
      </c>
    </row>
    <row r="759" spans="1:6" x14ac:dyDescent="0.3">
      <c r="A759" s="2">
        <v>758</v>
      </c>
      <c r="B759" s="1" t="s">
        <v>1580</v>
      </c>
      <c r="C759" s="1" t="s">
        <v>1573</v>
      </c>
      <c r="D759" s="1" t="s">
        <v>1574</v>
      </c>
      <c r="E759" s="1" t="s">
        <v>1581</v>
      </c>
      <c r="F759" s="1" t="str">
        <f>HYPERLINK("https://talan.bank.gov.ua/get-user-certificate/J5325V6FhVlVLh_oRvrW","Завантажити сертифікат")</f>
        <v>Завантажити сертифікат</v>
      </c>
    </row>
    <row r="760" spans="1:6" x14ac:dyDescent="0.3">
      <c r="A760" s="2">
        <v>759</v>
      </c>
      <c r="B760" s="1" t="s">
        <v>1582</v>
      </c>
      <c r="C760" s="1" t="s">
        <v>1573</v>
      </c>
      <c r="D760" s="1" t="s">
        <v>1574</v>
      </c>
      <c r="E760" s="1" t="s">
        <v>1583</v>
      </c>
      <c r="F760" s="1" t="str">
        <f>HYPERLINK("https://talan.bank.gov.ua/get-user-certificate/J5325mW--d5FtcF1-M-S","Завантажити сертифікат")</f>
        <v>Завантажити сертифікат</v>
      </c>
    </row>
    <row r="761" spans="1:6" x14ac:dyDescent="0.3">
      <c r="A761" s="2">
        <v>760</v>
      </c>
      <c r="B761" s="1" t="s">
        <v>1584</v>
      </c>
      <c r="C761" s="1" t="s">
        <v>1573</v>
      </c>
      <c r="D761" s="1" t="s">
        <v>1574</v>
      </c>
      <c r="E761" s="1" t="s">
        <v>1585</v>
      </c>
      <c r="F761" s="1" t="str">
        <f>HYPERLINK("https://talan.bank.gov.ua/get-user-certificate/J5325QFgUn1D27DyOCt1","Завантажити сертифікат")</f>
        <v>Завантажити сертифікат</v>
      </c>
    </row>
    <row r="762" spans="1:6" x14ac:dyDescent="0.3">
      <c r="A762" s="2">
        <v>761</v>
      </c>
      <c r="B762" s="1" t="s">
        <v>1586</v>
      </c>
      <c r="C762" s="1" t="s">
        <v>1573</v>
      </c>
      <c r="D762" s="1" t="s">
        <v>1574</v>
      </c>
      <c r="E762" s="1" t="s">
        <v>1587</v>
      </c>
      <c r="F762" s="1" t="str">
        <f>HYPERLINK("https://talan.bank.gov.ua/get-user-certificate/J5325HallF-qeKlqMqGJ","Завантажити сертифікат")</f>
        <v>Завантажити сертифікат</v>
      </c>
    </row>
    <row r="763" spans="1:6" x14ac:dyDescent="0.3">
      <c r="A763" s="2">
        <v>762</v>
      </c>
      <c r="B763" s="1" t="s">
        <v>1588</v>
      </c>
      <c r="C763" s="1" t="s">
        <v>1573</v>
      </c>
      <c r="D763" s="1" t="s">
        <v>1574</v>
      </c>
      <c r="E763" s="1" t="s">
        <v>1589</v>
      </c>
      <c r="F763" s="1" t="str">
        <f>HYPERLINK("https://talan.bank.gov.ua/get-user-certificate/J5325BWDnQxyW4KRV1LO","Завантажити сертифікат")</f>
        <v>Завантажити сертифікат</v>
      </c>
    </row>
    <row r="764" spans="1:6" x14ac:dyDescent="0.3">
      <c r="A764" s="2">
        <v>763</v>
      </c>
      <c r="B764" s="1" t="s">
        <v>1590</v>
      </c>
      <c r="C764" s="1" t="s">
        <v>1573</v>
      </c>
      <c r="D764" s="1" t="s">
        <v>1574</v>
      </c>
      <c r="E764" s="1" t="s">
        <v>1591</v>
      </c>
      <c r="F764" s="1" t="str">
        <f>HYPERLINK("https://talan.bank.gov.ua/get-user-certificate/J5325rDT2JFofEaw0Pjj","Завантажити сертифікат")</f>
        <v>Завантажити сертифікат</v>
      </c>
    </row>
    <row r="765" spans="1:6" x14ac:dyDescent="0.3">
      <c r="A765" s="2">
        <v>764</v>
      </c>
      <c r="B765" s="1" t="s">
        <v>1592</v>
      </c>
      <c r="C765" s="1" t="s">
        <v>1573</v>
      </c>
      <c r="D765" s="1" t="s">
        <v>1574</v>
      </c>
      <c r="E765" s="1" t="s">
        <v>1593</v>
      </c>
      <c r="F765" s="1" t="str">
        <f>HYPERLINK("https://talan.bank.gov.ua/get-user-certificate/J5325xIus3Ga43molhxh","Завантажити сертифікат")</f>
        <v>Завантажити сертифікат</v>
      </c>
    </row>
    <row r="766" spans="1:6" x14ac:dyDescent="0.3">
      <c r="A766" s="2">
        <v>765</v>
      </c>
      <c r="B766" s="1" t="s">
        <v>1594</v>
      </c>
      <c r="C766" s="1" t="s">
        <v>1573</v>
      </c>
      <c r="D766" s="1" t="s">
        <v>1574</v>
      </c>
      <c r="E766" s="1" t="s">
        <v>1595</v>
      </c>
      <c r="F766" s="1" t="str">
        <f>HYPERLINK("https://talan.bank.gov.ua/get-user-certificate/J5325TcazI3Hfix24FE3","Завантажити сертифікат")</f>
        <v>Завантажити сертифікат</v>
      </c>
    </row>
    <row r="767" spans="1:6" x14ac:dyDescent="0.3">
      <c r="A767" s="2">
        <v>766</v>
      </c>
      <c r="B767" s="1" t="s">
        <v>1596</v>
      </c>
      <c r="C767" s="1" t="s">
        <v>1573</v>
      </c>
      <c r="D767" s="1" t="s">
        <v>1574</v>
      </c>
      <c r="E767" s="1" t="s">
        <v>1597</v>
      </c>
      <c r="F767" s="1" t="str">
        <f>HYPERLINK("https://talan.bank.gov.ua/get-user-certificate/J5325Tx-Y2ZcPScJK-fn","Завантажити сертифікат")</f>
        <v>Завантажити сертифікат</v>
      </c>
    </row>
    <row r="768" spans="1:6" x14ac:dyDescent="0.3">
      <c r="A768" s="2">
        <v>767</v>
      </c>
      <c r="B768" s="1" t="s">
        <v>1598</v>
      </c>
      <c r="C768" s="1" t="s">
        <v>1573</v>
      </c>
      <c r="D768" s="1" t="s">
        <v>1574</v>
      </c>
      <c r="E768" s="1" t="s">
        <v>1599</v>
      </c>
      <c r="F768" s="1" t="str">
        <f>HYPERLINK("https://talan.bank.gov.ua/get-user-certificate/J53257HQvtHw7j-ZpdBV","Завантажити сертифікат")</f>
        <v>Завантажити сертифікат</v>
      </c>
    </row>
    <row r="769" spans="1:6" x14ac:dyDescent="0.3">
      <c r="A769" s="2">
        <v>768</v>
      </c>
      <c r="B769" s="1" t="s">
        <v>1600</v>
      </c>
      <c r="C769" s="1" t="s">
        <v>1573</v>
      </c>
      <c r="D769" s="1" t="s">
        <v>1574</v>
      </c>
      <c r="E769" s="1" t="s">
        <v>1601</v>
      </c>
      <c r="F769" s="1" t="str">
        <f>HYPERLINK("https://talan.bank.gov.ua/get-user-certificate/J5325y7nZWsvfz4o04GI","Завантажити сертифікат")</f>
        <v>Завантажити сертифікат</v>
      </c>
    </row>
    <row r="770" spans="1:6" x14ac:dyDescent="0.3">
      <c r="A770" s="2">
        <v>769</v>
      </c>
      <c r="B770" s="1" t="s">
        <v>1602</v>
      </c>
      <c r="C770" s="1" t="s">
        <v>1603</v>
      </c>
      <c r="D770" s="1" t="s">
        <v>1604</v>
      </c>
      <c r="E770" s="1" t="s">
        <v>1605</v>
      </c>
      <c r="F770" s="1" t="str">
        <f>HYPERLINK("https://talan.bank.gov.ua/get-user-certificate/J5325VW_4GyZpEfhpdZU","Завантажити сертифікат")</f>
        <v>Завантажити сертифікат</v>
      </c>
    </row>
    <row r="771" spans="1:6" x14ac:dyDescent="0.3">
      <c r="A771" s="2">
        <v>770</v>
      </c>
      <c r="B771" s="1" t="s">
        <v>1606</v>
      </c>
      <c r="C771" s="1" t="s">
        <v>1603</v>
      </c>
      <c r="D771" s="1" t="s">
        <v>1604</v>
      </c>
      <c r="E771" s="1" t="s">
        <v>1607</v>
      </c>
      <c r="F771" s="1" t="str">
        <f>HYPERLINK("https://talan.bank.gov.ua/get-user-certificate/J5325TJO9Jl_tswAvsJf","Завантажити сертифікат")</f>
        <v>Завантажити сертифікат</v>
      </c>
    </row>
    <row r="772" spans="1:6" x14ac:dyDescent="0.3">
      <c r="A772" s="2">
        <v>771</v>
      </c>
      <c r="B772" s="1" t="s">
        <v>1608</v>
      </c>
      <c r="C772" s="1" t="s">
        <v>1603</v>
      </c>
      <c r="D772" s="1" t="s">
        <v>1604</v>
      </c>
      <c r="E772" s="1" t="s">
        <v>1609</v>
      </c>
      <c r="F772" s="1" t="str">
        <f>HYPERLINK("https://talan.bank.gov.ua/get-user-certificate/J5325DirapSI-8AecrgT","Завантажити сертифікат")</f>
        <v>Завантажити сертифікат</v>
      </c>
    </row>
    <row r="773" spans="1:6" x14ac:dyDescent="0.3">
      <c r="A773" s="2">
        <v>772</v>
      </c>
      <c r="B773" s="1" t="s">
        <v>1610</v>
      </c>
      <c r="C773" s="1" t="s">
        <v>1603</v>
      </c>
      <c r="D773" s="1" t="s">
        <v>1604</v>
      </c>
      <c r="E773" s="1" t="s">
        <v>1611</v>
      </c>
      <c r="F773" s="1" t="str">
        <f>HYPERLINK("https://talan.bank.gov.ua/get-user-certificate/J5325taA59otwLxhifuo","Завантажити сертифікат")</f>
        <v>Завантажити сертифікат</v>
      </c>
    </row>
    <row r="774" spans="1:6" x14ac:dyDescent="0.3">
      <c r="A774" s="2">
        <v>773</v>
      </c>
      <c r="B774" s="1" t="s">
        <v>1612</v>
      </c>
      <c r="C774" s="1" t="s">
        <v>1603</v>
      </c>
      <c r="D774" s="1" t="s">
        <v>1604</v>
      </c>
      <c r="E774" s="1" t="s">
        <v>1613</v>
      </c>
      <c r="F774" s="1" t="str">
        <f>HYPERLINK("https://talan.bank.gov.ua/get-user-certificate/J5325pwZbU6GXBPoSYW7","Завантажити сертифікат")</f>
        <v>Завантажити сертифікат</v>
      </c>
    </row>
    <row r="775" spans="1:6" x14ac:dyDescent="0.3">
      <c r="A775" s="2">
        <v>774</v>
      </c>
      <c r="B775" s="1" t="s">
        <v>1614</v>
      </c>
      <c r="C775" s="1" t="s">
        <v>1615</v>
      </c>
      <c r="D775" s="1" t="s">
        <v>1616</v>
      </c>
      <c r="E775" s="1" t="s">
        <v>1617</v>
      </c>
      <c r="F775" s="1" t="str">
        <f>HYPERLINK("https://talan.bank.gov.ua/get-user-certificate/J5325FUJpt2vkv5E99pd","Завантажити сертифікат")</f>
        <v>Завантажити сертифікат</v>
      </c>
    </row>
    <row r="776" spans="1:6" x14ac:dyDescent="0.3">
      <c r="A776" s="2">
        <v>775</v>
      </c>
      <c r="B776" s="1" t="s">
        <v>1618</v>
      </c>
      <c r="C776" s="1" t="s">
        <v>1615</v>
      </c>
      <c r="D776" s="1" t="s">
        <v>1616</v>
      </c>
      <c r="E776" s="1" t="s">
        <v>1619</v>
      </c>
      <c r="F776" s="1" t="str">
        <f>HYPERLINK("https://talan.bank.gov.ua/get-user-certificate/J5325xv_we64qOHpT8lj","Завантажити сертифікат")</f>
        <v>Завантажити сертифікат</v>
      </c>
    </row>
    <row r="777" spans="1:6" x14ac:dyDescent="0.3">
      <c r="A777" s="2">
        <v>776</v>
      </c>
      <c r="B777" s="1" t="s">
        <v>1620</v>
      </c>
      <c r="C777" s="1" t="s">
        <v>1615</v>
      </c>
      <c r="D777" s="1" t="s">
        <v>1616</v>
      </c>
      <c r="E777" s="1" t="s">
        <v>1621</v>
      </c>
      <c r="F777" s="1" t="str">
        <f>HYPERLINK("https://talan.bank.gov.ua/get-user-certificate/J5325UurZOszYLguIgDy","Завантажити сертифікат")</f>
        <v>Завантажити сертифікат</v>
      </c>
    </row>
    <row r="778" spans="1:6" x14ac:dyDescent="0.3">
      <c r="A778" s="2">
        <v>777</v>
      </c>
      <c r="B778" s="1" t="s">
        <v>1622</v>
      </c>
      <c r="C778" s="1" t="s">
        <v>1615</v>
      </c>
      <c r="D778" s="1" t="s">
        <v>1616</v>
      </c>
      <c r="E778" s="1" t="s">
        <v>1623</v>
      </c>
      <c r="F778" s="1" t="str">
        <f>HYPERLINK("https://talan.bank.gov.ua/get-user-certificate/J5325WA3EsbsDepRJGD_","Завантажити сертифікат")</f>
        <v>Завантажити сертифікат</v>
      </c>
    </row>
    <row r="779" spans="1:6" x14ac:dyDescent="0.3">
      <c r="A779" s="2">
        <v>778</v>
      </c>
      <c r="B779" s="1" t="s">
        <v>1624</v>
      </c>
      <c r="C779" s="1" t="s">
        <v>1615</v>
      </c>
      <c r="D779" s="1" t="s">
        <v>1616</v>
      </c>
      <c r="E779" s="1" t="s">
        <v>1625</v>
      </c>
      <c r="F779" s="1" t="str">
        <f>HYPERLINK("https://talan.bank.gov.ua/get-user-certificate/J5325xC1Az0yOIV0aFuP","Завантажити сертифікат")</f>
        <v>Завантажити сертифікат</v>
      </c>
    </row>
    <row r="780" spans="1:6" x14ac:dyDescent="0.3">
      <c r="A780" s="2">
        <v>779</v>
      </c>
      <c r="B780" s="1" t="s">
        <v>1626</v>
      </c>
      <c r="C780" s="1" t="s">
        <v>1615</v>
      </c>
      <c r="D780" s="1" t="s">
        <v>1616</v>
      </c>
      <c r="E780" s="1" t="s">
        <v>1627</v>
      </c>
      <c r="F780" s="1" t="str">
        <f>HYPERLINK("https://talan.bank.gov.ua/get-user-certificate/J5325I__sh-J3OajyNEm","Завантажити сертифікат")</f>
        <v>Завантажити сертифікат</v>
      </c>
    </row>
    <row r="781" spans="1:6" x14ac:dyDescent="0.3">
      <c r="A781" s="2">
        <v>780</v>
      </c>
      <c r="B781" s="1" t="s">
        <v>1628</v>
      </c>
      <c r="C781" s="1" t="s">
        <v>1615</v>
      </c>
      <c r="D781" s="1" t="s">
        <v>1616</v>
      </c>
      <c r="E781" s="1" t="s">
        <v>1629</v>
      </c>
      <c r="F781" s="1" t="str">
        <f>HYPERLINK("https://talan.bank.gov.ua/get-user-certificate/J532584n6WFAsxMUkn_K","Завантажити сертифікат")</f>
        <v>Завантажити сертифікат</v>
      </c>
    </row>
    <row r="782" spans="1:6" x14ac:dyDescent="0.3">
      <c r="A782" s="2">
        <v>781</v>
      </c>
      <c r="B782" s="1" t="s">
        <v>1630</v>
      </c>
      <c r="C782" s="1" t="s">
        <v>1615</v>
      </c>
      <c r="D782" s="1" t="s">
        <v>1616</v>
      </c>
      <c r="E782" s="1" t="s">
        <v>1631</v>
      </c>
      <c r="F782" s="1" t="str">
        <f>HYPERLINK("https://talan.bank.gov.ua/get-user-certificate/J53255mW-bpDKgLCkRd2","Завантажити сертифікат")</f>
        <v>Завантажити сертифікат</v>
      </c>
    </row>
    <row r="783" spans="1:6" x14ac:dyDescent="0.3">
      <c r="A783" s="2">
        <v>782</v>
      </c>
      <c r="B783" s="1" t="s">
        <v>1632</v>
      </c>
      <c r="C783" s="1" t="s">
        <v>1615</v>
      </c>
      <c r="D783" s="1" t="s">
        <v>1616</v>
      </c>
      <c r="E783" s="1" t="s">
        <v>1633</v>
      </c>
      <c r="F783" s="1" t="str">
        <f>HYPERLINK("https://talan.bank.gov.ua/get-user-certificate/J5325LnYEGWESUmYRWna","Завантажити сертифікат")</f>
        <v>Завантажити сертифікат</v>
      </c>
    </row>
    <row r="784" spans="1:6" x14ac:dyDescent="0.3">
      <c r="A784" s="2">
        <v>783</v>
      </c>
      <c r="B784" s="1" t="s">
        <v>1634</v>
      </c>
      <c r="C784" s="1" t="s">
        <v>1615</v>
      </c>
      <c r="D784" s="1" t="s">
        <v>1616</v>
      </c>
      <c r="E784" s="1" t="s">
        <v>1635</v>
      </c>
      <c r="F784" s="1" t="str">
        <f>HYPERLINK("https://talan.bank.gov.ua/get-user-certificate/J5325ZHDg6XHXimWDgk4","Завантажити сертифікат")</f>
        <v>Завантажити сертифікат</v>
      </c>
    </row>
    <row r="785" spans="1:6" ht="28.8" x14ac:dyDescent="0.3">
      <c r="A785" s="2">
        <v>784</v>
      </c>
      <c r="B785" s="1" t="s">
        <v>1636</v>
      </c>
      <c r="C785" s="1" t="s">
        <v>1615</v>
      </c>
      <c r="D785" s="1" t="s">
        <v>1616</v>
      </c>
      <c r="E785" s="1" t="s">
        <v>1637</v>
      </c>
      <c r="F785" s="1" t="str">
        <f>HYPERLINK("https://talan.bank.gov.ua/get-user-certificate/J5325z412VUsgAEVITd9","Завантажити сертифікат")</f>
        <v>Завантажити сертифікат</v>
      </c>
    </row>
    <row r="786" spans="1:6" ht="43.2" x14ac:dyDescent="0.3">
      <c r="A786" s="2">
        <v>785</v>
      </c>
      <c r="B786" s="1" t="s">
        <v>1638</v>
      </c>
      <c r="C786" s="1" t="s">
        <v>1639</v>
      </c>
      <c r="D786" s="1" t="s">
        <v>1640</v>
      </c>
      <c r="E786" s="1" t="s">
        <v>1641</v>
      </c>
      <c r="F786" s="1" t="str">
        <f>HYPERLINK("https://talan.bank.gov.ua/get-user-certificate/J5325S3NVkCp6N_Tkfs7","Завантажити сертифікат")</f>
        <v>Завантажити сертифікат</v>
      </c>
    </row>
    <row r="787" spans="1:6" ht="43.2" x14ac:dyDescent="0.3">
      <c r="A787" s="2">
        <v>786</v>
      </c>
      <c r="B787" s="1" t="s">
        <v>1642</v>
      </c>
      <c r="C787" s="1" t="s">
        <v>1639</v>
      </c>
      <c r="D787" s="1" t="s">
        <v>1640</v>
      </c>
      <c r="E787" s="1" t="s">
        <v>1643</v>
      </c>
      <c r="F787" s="1" t="str">
        <f>HYPERLINK("https://talan.bank.gov.ua/get-user-certificate/J53259pW24UVfJP7UHNu","Завантажити сертифікат")</f>
        <v>Завантажити сертифікат</v>
      </c>
    </row>
    <row r="788" spans="1:6" ht="43.2" x14ac:dyDescent="0.3">
      <c r="A788" s="2">
        <v>787</v>
      </c>
      <c r="B788" s="1" t="s">
        <v>1644</v>
      </c>
      <c r="C788" s="1" t="s">
        <v>1639</v>
      </c>
      <c r="D788" s="1" t="s">
        <v>1640</v>
      </c>
      <c r="E788" s="1" t="s">
        <v>1645</v>
      </c>
      <c r="F788" s="1" t="str">
        <f>HYPERLINK("https://talan.bank.gov.ua/get-user-certificate/J5325rJEA6DR4RQ_SBgF","Завантажити сертифікат")</f>
        <v>Завантажити сертифікат</v>
      </c>
    </row>
    <row r="789" spans="1:6" ht="43.2" x14ac:dyDescent="0.3">
      <c r="A789" s="2">
        <v>788</v>
      </c>
      <c r="B789" s="1" t="s">
        <v>1646</v>
      </c>
      <c r="C789" s="1" t="s">
        <v>1639</v>
      </c>
      <c r="D789" s="1" t="s">
        <v>1640</v>
      </c>
      <c r="E789" s="1" t="s">
        <v>1647</v>
      </c>
      <c r="F789" s="1" t="str">
        <f>HYPERLINK("https://talan.bank.gov.ua/get-user-certificate/J5325c4X2jRR2mp2Mnwt","Завантажити сертифікат")</f>
        <v>Завантажити сертифікат</v>
      </c>
    </row>
    <row r="790" spans="1:6" ht="43.2" x14ac:dyDescent="0.3">
      <c r="A790" s="2">
        <v>789</v>
      </c>
      <c r="B790" s="1" t="s">
        <v>1648</v>
      </c>
      <c r="C790" s="1" t="s">
        <v>1639</v>
      </c>
      <c r="D790" s="1" t="s">
        <v>1640</v>
      </c>
      <c r="E790" s="1" t="s">
        <v>1649</v>
      </c>
      <c r="F790" s="1" t="str">
        <f>HYPERLINK("https://talan.bank.gov.ua/get-user-certificate/J5325ssVu8R0740KpVht","Завантажити сертифікат")</f>
        <v>Завантажити сертифікат</v>
      </c>
    </row>
    <row r="791" spans="1:6" ht="43.2" x14ac:dyDescent="0.3">
      <c r="A791" s="2">
        <v>790</v>
      </c>
      <c r="B791" s="1" t="s">
        <v>1650</v>
      </c>
      <c r="C791" s="1" t="s">
        <v>1639</v>
      </c>
      <c r="D791" s="1" t="s">
        <v>1640</v>
      </c>
      <c r="E791" s="1" t="s">
        <v>1651</v>
      </c>
      <c r="F791" s="1" t="str">
        <f>HYPERLINK("https://talan.bank.gov.ua/get-user-certificate/J5325O4E1gk4YJVcZxSU","Завантажити сертифікат")</f>
        <v>Завантажити сертифікат</v>
      </c>
    </row>
    <row r="792" spans="1:6" ht="43.2" x14ac:dyDescent="0.3">
      <c r="A792" s="2">
        <v>791</v>
      </c>
      <c r="B792" s="1" t="s">
        <v>1652</v>
      </c>
      <c r="C792" s="1" t="s">
        <v>1639</v>
      </c>
      <c r="D792" s="1" t="s">
        <v>1640</v>
      </c>
      <c r="E792" s="1" t="s">
        <v>1653</v>
      </c>
      <c r="F792" s="1" t="str">
        <f>HYPERLINK("https://talan.bank.gov.ua/get-user-certificate/J53250fphlxiEO71dbaz","Завантажити сертифікат")</f>
        <v>Завантажити сертифікат</v>
      </c>
    </row>
    <row r="793" spans="1:6" ht="43.2" x14ac:dyDescent="0.3">
      <c r="A793" s="2">
        <v>792</v>
      </c>
      <c r="B793" s="1" t="s">
        <v>1654</v>
      </c>
      <c r="C793" s="1" t="s">
        <v>1639</v>
      </c>
      <c r="D793" s="1" t="s">
        <v>1640</v>
      </c>
      <c r="E793" s="1" t="s">
        <v>1655</v>
      </c>
      <c r="F793" s="1" t="str">
        <f>HYPERLINK("https://talan.bank.gov.ua/get-user-certificate/J5325fOA9KCtO14QCUh4","Завантажити сертифікат")</f>
        <v>Завантажити сертифікат</v>
      </c>
    </row>
    <row r="794" spans="1:6" ht="43.2" x14ac:dyDescent="0.3">
      <c r="A794" s="2">
        <v>793</v>
      </c>
      <c r="B794" s="1" t="s">
        <v>1656</v>
      </c>
      <c r="C794" s="1" t="s">
        <v>1639</v>
      </c>
      <c r="D794" s="1" t="s">
        <v>1640</v>
      </c>
      <c r="E794" s="1" t="s">
        <v>1657</v>
      </c>
      <c r="F794" s="1" t="str">
        <f>HYPERLINK("https://talan.bank.gov.ua/get-user-certificate/J5325Vg-FtvdYV0a1hrw","Завантажити сертифікат")</f>
        <v>Завантажити сертифікат</v>
      </c>
    </row>
    <row r="795" spans="1:6" ht="43.2" x14ac:dyDescent="0.3">
      <c r="A795" s="2">
        <v>794</v>
      </c>
      <c r="B795" s="1" t="s">
        <v>1658</v>
      </c>
      <c r="C795" s="1" t="s">
        <v>1639</v>
      </c>
      <c r="D795" s="1" t="s">
        <v>1640</v>
      </c>
      <c r="E795" s="1" t="s">
        <v>1659</v>
      </c>
      <c r="F795" s="1" t="str">
        <f>HYPERLINK("https://talan.bank.gov.ua/get-user-certificate/J5325nXmpjWILhFzd4Qq","Завантажити сертифікат")</f>
        <v>Завантажити сертифікат</v>
      </c>
    </row>
    <row r="796" spans="1:6" ht="43.2" x14ac:dyDescent="0.3">
      <c r="A796" s="2">
        <v>795</v>
      </c>
      <c r="B796" s="1" t="s">
        <v>1660</v>
      </c>
      <c r="C796" s="1" t="s">
        <v>1639</v>
      </c>
      <c r="D796" s="1" t="s">
        <v>1640</v>
      </c>
      <c r="E796" s="1" t="s">
        <v>1661</v>
      </c>
      <c r="F796" s="1" t="str">
        <f>HYPERLINK("https://talan.bank.gov.ua/get-user-certificate/J53253UkL9jkcb4xumnf","Завантажити сертифікат")</f>
        <v>Завантажити сертифікат</v>
      </c>
    </row>
    <row r="797" spans="1:6" ht="43.2" x14ac:dyDescent="0.3">
      <c r="A797" s="2">
        <v>796</v>
      </c>
      <c r="B797" s="1" t="s">
        <v>1662</v>
      </c>
      <c r="C797" s="1" t="s">
        <v>1639</v>
      </c>
      <c r="D797" s="1" t="s">
        <v>1640</v>
      </c>
      <c r="E797" s="1" t="s">
        <v>1663</v>
      </c>
      <c r="F797" s="1" t="str">
        <f>HYPERLINK("https://talan.bank.gov.ua/get-user-certificate/J5325tJ1NZyrK0KpBdBR","Завантажити сертифікат")</f>
        <v>Завантажити сертифікат</v>
      </c>
    </row>
    <row r="798" spans="1:6" ht="43.2" x14ac:dyDescent="0.3">
      <c r="A798" s="2">
        <v>797</v>
      </c>
      <c r="B798" s="1" t="s">
        <v>1664</v>
      </c>
      <c r="C798" s="1" t="s">
        <v>1639</v>
      </c>
      <c r="D798" s="1" t="s">
        <v>1640</v>
      </c>
      <c r="E798" s="1" t="s">
        <v>1665</v>
      </c>
      <c r="F798" s="1" t="str">
        <f>HYPERLINK("https://talan.bank.gov.ua/get-user-certificate/J5325TnVxA8eMfiFZBS2","Завантажити сертифікат")</f>
        <v>Завантажити сертифікат</v>
      </c>
    </row>
    <row r="799" spans="1:6" ht="43.2" x14ac:dyDescent="0.3">
      <c r="A799" s="2">
        <v>798</v>
      </c>
      <c r="B799" s="1" t="s">
        <v>1666</v>
      </c>
      <c r="C799" s="1" t="s">
        <v>1639</v>
      </c>
      <c r="D799" s="1" t="s">
        <v>1640</v>
      </c>
      <c r="E799" s="1" t="s">
        <v>1667</v>
      </c>
      <c r="F799" s="1" t="str">
        <f>HYPERLINK("https://talan.bank.gov.ua/get-user-certificate/J5325llHDzQB6_Sm1Xau","Завантажити сертифікат")</f>
        <v>Завантажити сертифікат</v>
      </c>
    </row>
    <row r="800" spans="1:6" ht="43.2" x14ac:dyDescent="0.3">
      <c r="A800" s="2">
        <v>799</v>
      </c>
      <c r="B800" s="1" t="s">
        <v>1668</v>
      </c>
      <c r="C800" s="1" t="s">
        <v>1639</v>
      </c>
      <c r="D800" s="1" t="s">
        <v>1640</v>
      </c>
      <c r="E800" s="1" t="s">
        <v>1669</v>
      </c>
      <c r="F800" s="1" t="str">
        <f>HYPERLINK("https://talan.bank.gov.ua/get-user-certificate/J532587p-mXWX9JEaAJu","Завантажити сертифікат")</f>
        <v>Завантажити сертифікат</v>
      </c>
    </row>
    <row r="801" spans="1:6" ht="43.2" x14ac:dyDescent="0.3">
      <c r="A801" s="2">
        <v>800</v>
      </c>
      <c r="B801" s="1" t="s">
        <v>1670</v>
      </c>
      <c r="C801" s="1" t="s">
        <v>1639</v>
      </c>
      <c r="D801" s="1" t="s">
        <v>1640</v>
      </c>
      <c r="E801" s="1" t="s">
        <v>1671</v>
      </c>
      <c r="F801" s="1" t="str">
        <f>HYPERLINK("https://talan.bank.gov.ua/get-user-certificate/J5325AuZ5SzhhjeS6mPn","Завантажити сертифікат")</f>
        <v>Завантажити сертифікат</v>
      </c>
    </row>
    <row r="802" spans="1:6" ht="43.2" x14ac:dyDescent="0.3">
      <c r="A802" s="2">
        <v>801</v>
      </c>
      <c r="B802" s="1" t="s">
        <v>1672</v>
      </c>
      <c r="C802" s="1" t="s">
        <v>1639</v>
      </c>
      <c r="D802" s="1" t="s">
        <v>1640</v>
      </c>
      <c r="E802" s="1" t="s">
        <v>1673</v>
      </c>
      <c r="F802" s="1" t="str">
        <f>HYPERLINK("https://talan.bank.gov.ua/get-user-certificate/J5325FijWHPMcXrmU4h3","Завантажити сертифікат")</f>
        <v>Завантажити сертифікат</v>
      </c>
    </row>
    <row r="803" spans="1:6" ht="43.2" x14ac:dyDescent="0.3">
      <c r="A803" s="2">
        <v>802</v>
      </c>
      <c r="B803" s="1" t="s">
        <v>1674</v>
      </c>
      <c r="C803" s="1" t="s">
        <v>1639</v>
      </c>
      <c r="D803" s="1" t="s">
        <v>1640</v>
      </c>
      <c r="E803" s="1" t="s">
        <v>1675</v>
      </c>
      <c r="F803" s="1" t="str">
        <f>HYPERLINK("https://talan.bank.gov.ua/get-user-certificate/J532525oMOwBCfOK7YvZ","Завантажити сертифікат")</f>
        <v>Завантажити сертифікат</v>
      </c>
    </row>
    <row r="804" spans="1:6" ht="43.2" x14ac:dyDescent="0.3">
      <c r="A804" s="2">
        <v>803</v>
      </c>
      <c r="B804" s="1" t="s">
        <v>1676</v>
      </c>
      <c r="C804" s="1" t="s">
        <v>1639</v>
      </c>
      <c r="D804" s="1" t="s">
        <v>1640</v>
      </c>
      <c r="E804" s="1" t="s">
        <v>1677</v>
      </c>
      <c r="F804" s="1" t="str">
        <f>HYPERLINK("https://talan.bank.gov.ua/get-user-certificate/J5325lxaD6yUORgz7Cnn","Завантажити сертифікат")</f>
        <v>Завантажити сертифікат</v>
      </c>
    </row>
    <row r="805" spans="1:6" ht="43.2" x14ac:dyDescent="0.3">
      <c r="A805" s="2">
        <v>804</v>
      </c>
      <c r="B805" s="1" t="s">
        <v>1678</v>
      </c>
      <c r="C805" s="1" t="s">
        <v>1639</v>
      </c>
      <c r="D805" s="1" t="s">
        <v>1640</v>
      </c>
      <c r="E805" s="1" t="s">
        <v>1679</v>
      </c>
      <c r="F805" s="1" t="str">
        <f>HYPERLINK("https://talan.bank.gov.ua/get-user-certificate/J5325ECLut0EH4PoXOu0","Завантажити сертифікат")</f>
        <v>Завантажити сертифікат</v>
      </c>
    </row>
    <row r="806" spans="1:6" ht="43.2" x14ac:dyDescent="0.3">
      <c r="A806" s="2">
        <v>805</v>
      </c>
      <c r="B806" s="1" t="s">
        <v>1680</v>
      </c>
      <c r="C806" s="1" t="s">
        <v>1639</v>
      </c>
      <c r="D806" s="1" t="s">
        <v>1640</v>
      </c>
      <c r="E806" s="1" t="s">
        <v>1681</v>
      </c>
      <c r="F806" s="1" t="str">
        <f>HYPERLINK("https://talan.bank.gov.ua/get-user-certificate/J53253lHUQLE88uFxTwS","Завантажити сертифікат")</f>
        <v>Завантажити сертифікат</v>
      </c>
    </row>
    <row r="807" spans="1:6" ht="43.2" x14ac:dyDescent="0.3">
      <c r="A807" s="2">
        <v>806</v>
      </c>
      <c r="B807" s="1" t="s">
        <v>1682</v>
      </c>
      <c r="C807" s="1" t="s">
        <v>1639</v>
      </c>
      <c r="D807" s="1" t="s">
        <v>1640</v>
      </c>
      <c r="E807" s="1" t="s">
        <v>1683</v>
      </c>
      <c r="F807" s="1" t="str">
        <f>HYPERLINK("https://talan.bank.gov.ua/get-user-certificate/J5325Cs5m6ZIyvdyMtiv","Завантажити сертифікат")</f>
        <v>Завантажити сертифікат</v>
      </c>
    </row>
    <row r="808" spans="1:6" ht="43.2" x14ac:dyDescent="0.3">
      <c r="A808" s="2">
        <v>807</v>
      </c>
      <c r="B808" s="1" t="s">
        <v>1684</v>
      </c>
      <c r="C808" s="1" t="s">
        <v>1639</v>
      </c>
      <c r="D808" s="1" t="s">
        <v>1640</v>
      </c>
      <c r="E808" s="1" t="s">
        <v>1685</v>
      </c>
      <c r="F808" s="1" t="str">
        <f>HYPERLINK("https://talan.bank.gov.ua/get-user-certificate/J5325R8AXI3ovndC6kUG","Завантажити сертифікат")</f>
        <v>Завантажити сертифікат</v>
      </c>
    </row>
    <row r="809" spans="1:6" ht="43.2" x14ac:dyDescent="0.3">
      <c r="A809" s="2">
        <v>808</v>
      </c>
      <c r="B809" s="1" t="s">
        <v>1686</v>
      </c>
      <c r="C809" s="1" t="s">
        <v>1639</v>
      </c>
      <c r="D809" s="1" t="s">
        <v>1640</v>
      </c>
      <c r="E809" s="1" t="s">
        <v>1687</v>
      </c>
      <c r="F809" s="1" t="str">
        <f>HYPERLINK("https://talan.bank.gov.ua/get-user-certificate/J5325cbn3Swn7Wij8cJq","Завантажити сертифікат")</f>
        <v>Завантажити сертифікат</v>
      </c>
    </row>
    <row r="810" spans="1:6" ht="43.2" x14ac:dyDescent="0.3">
      <c r="A810" s="2">
        <v>809</v>
      </c>
      <c r="B810" s="1" t="s">
        <v>1688</v>
      </c>
      <c r="C810" s="1" t="s">
        <v>1639</v>
      </c>
      <c r="D810" s="1" t="s">
        <v>1640</v>
      </c>
      <c r="E810" s="1" t="s">
        <v>1689</v>
      </c>
      <c r="F810" s="1" t="str">
        <f>HYPERLINK("https://talan.bank.gov.ua/get-user-certificate/J5325SBu4ZWAmsIQUOzh","Завантажити сертифікат")</f>
        <v>Завантажити сертифікат</v>
      </c>
    </row>
    <row r="811" spans="1:6" ht="43.2" x14ac:dyDescent="0.3">
      <c r="A811" s="2">
        <v>810</v>
      </c>
      <c r="B811" s="1" t="s">
        <v>1690</v>
      </c>
      <c r="C811" s="1" t="s">
        <v>1639</v>
      </c>
      <c r="D811" s="1" t="s">
        <v>1640</v>
      </c>
      <c r="E811" s="1" t="s">
        <v>1691</v>
      </c>
      <c r="F811" s="1" t="str">
        <f>HYPERLINK("https://talan.bank.gov.ua/get-user-certificate/J5325jmgdbwJUUazLwiF","Завантажити сертифікат")</f>
        <v>Завантажити сертифікат</v>
      </c>
    </row>
    <row r="812" spans="1:6" ht="43.2" x14ac:dyDescent="0.3">
      <c r="A812" s="2">
        <v>811</v>
      </c>
      <c r="B812" s="1" t="s">
        <v>1692</v>
      </c>
      <c r="C812" s="1" t="s">
        <v>1639</v>
      </c>
      <c r="D812" s="1" t="s">
        <v>1640</v>
      </c>
      <c r="E812" s="1" t="s">
        <v>1693</v>
      </c>
      <c r="F812" s="1" t="str">
        <f>HYPERLINK("https://talan.bank.gov.ua/get-user-certificate/J5325mZsf6gPSBaUFcXy","Завантажити сертифікат")</f>
        <v>Завантажити сертифікат</v>
      </c>
    </row>
    <row r="813" spans="1:6" ht="43.2" x14ac:dyDescent="0.3">
      <c r="A813" s="2">
        <v>812</v>
      </c>
      <c r="B813" s="1" t="s">
        <v>1694</v>
      </c>
      <c r="C813" s="1" t="s">
        <v>1639</v>
      </c>
      <c r="D813" s="1" t="s">
        <v>1640</v>
      </c>
      <c r="E813" s="1" t="s">
        <v>1695</v>
      </c>
      <c r="F813" s="1" t="str">
        <f>HYPERLINK("https://talan.bank.gov.ua/get-user-certificate/J5325Ftb0h48p94sIytU","Завантажити сертифікат")</f>
        <v>Завантажити сертифікат</v>
      </c>
    </row>
    <row r="814" spans="1:6" ht="43.2" x14ac:dyDescent="0.3">
      <c r="A814" s="2">
        <v>813</v>
      </c>
      <c r="B814" s="1" t="s">
        <v>1696</v>
      </c>
      <c r="C814" s="1" t="s">
        <v>1639</v>
      </c>
      <c r="D814" s="1" t="s">
        <v>1640</v>
      </c>
      <c r="E814" s="1" t="s">
        <v>1697</v>
      </c>
      <c r="F814" s="1" t="str">
        <f>HYPERLINK("https://talan.bank.gov.ua/get-user-certificate/J5325-XDZohmceXwk2Zw","Завантажити сертифікат")</f>
        <v>Завантажити сертифікат</v>
      </c>
    </row>
    <row r="815" spans="1:6" x14ac:dyDescent="0.3">
      <c r="A815" s="2">
        <v>814</v>
      </c>
      <c r="B815" s="1" t="s">
        <v>1698</v>
      </c>
      <c r="C815" s="1" t="s">
        <v>1699</v>
      </c>
      <c r="D815" s="1" t="s">
        <v>1700</v>
      </c>
      <c r="E815" s="1" t="s">
        <v>1701</v>
      </c>
      <c r="F815" s="1" t="str">
        <f>HYPERLINK("https://talan.bank.gov.ua/get-user-certificate/J5325oGGQqi-quSIP01p","Завантажити сертифікат")</f>
        <v>Завантажити сертифікат</v>
      </c>
    </row>
    <row r="816" spans="1:6" x14ac:dyDescent="0.3">
      <c r="A816" s="2">
        <v>815</v>
      </c>
      <c r="B816" s="1" t="s">
        <v>1702</v>
      </c>
      <c r="C816" s="1" t="s">
        <v>1699</v>
      </c>
      <c r="D816" s="1" t="s">
        <v>1700</v>
      </c>
      <c r="E816" s="1" t="s">
        <v>1703</v>
      </c>
      <c r="F816" s="1" t="str">
        <f>HYPERLINK("https://talan.bank.gov.ua/get-user-certificate/J5325VRCEK8mP-bZom83","Завантажити сертифікат")</f>
        <v>Завантажити сертифікат</v>
      </c>
    </row>
    <row r="817" spans="1:6" x14ac:dyDescent="0.3">
      <c r="A817" s="2">
        <v>816</v>
      </c>
      <c r="B817" s="1" t="s">
        <v>1704</v>
      </c>
      <c r="C817" s="1" t="s">
        <v>1699</v>
      </c>
      <c r="D817" s="1" t="s">
        <v>1700</v>
      </c>
      <c r="E817" s="1" t="s">
        <v>1705</v>
      </c>
      <c r="F817" s="1" t="str">
        <f>HYPERLINK("https://talan.bank.gov.ua/get-user-certificate/J5325Tvd5GFlForGfFFr","Завантажити сертифікат")</f>
        <v>Завантажити сертифікат</v>
      </c>
    </row>
    <row r="818" spans="1:6" x14ac:dyDescent="0.3">
      <c r="A818" s="2">
        <v>817</v>
      </c>
      <c r="B818" s="1" t="s">
        <v>1706</v>
      </c>
      <c r="C818" s="1" t="s">
        <v>1699</v>
      </c>
      <c r="D818" s="1" t="s">
        <v>1700</v>
      </c>
      <c r="E818" s="1" t="s">
        <v>1707</v>
      </c>
      <c r="F818" s="1" t="str">
        <f>HYPERLINK("https://talan.bank.gov.ua/get-user-certificate/J5325sVg4cwwxntAq-i6","Завантажити сертифікат")</f>
        <v>Завантажити сертифікат</v>
      </c>
    </row>
    <row r="819" spans="1:6" x14ac:dyDescent="0.3">
      <c r="A819" s="2">
        <v>818</v>
      </c>
      <c r="B819" s="1" t="s">
        <v>1708</v>
      </c>
      <c r="C819" s="1" t="s">
        <v>1699</v>
      </c>
      <c r="D819" s="1" t="s">
        <v>1700</v>
      </c>
      <c r="E819" s="1" t="s">
        <v>1709</v>
      </c>
      <c r="F819" s="1" t="str">
        <f>HYPERLINK("https://talan.bank.gov.ua/get-user-certificate/J5325qYmql43hub34Y7p","Завантажити сертифікат")</f>
        <v>Завантажити сертифікат</v>
      </c>
    </row>
    <row r="820" spans="1:6" x14ac:dyDescent="0.3">
      <c r="A820" s="2">
        <v>819</v>
      </c>
      <c r="B820" s="1" t="s">
        <v>1710</v>
      </c>
      <c r="C820" s="1" t="s">
        <v>1699</v>
      </c>
      <c r="D820" s="1" t="s">
        <v>1700</v>
      </c>
      <c r="E820" s="1" t="s">
        <v>1711</v>
      </c>
      <c r="F820" s="1" t="str">
        <f>HYPERLINK("https://talan.bank.gov.ua/get-user-certificate/J53251l7lnAlZZk6i99S","Завантажити сертифікат")</f>
        <v>Завантажити сертифікат</v>
      </c>
    </row>
    <row r="821" spans="1:6" x14ac:dyDescent="0.3">
      <c r="A821" s="2">
        <v>820</v>
      </c>
      <c r="B821" s="1" t="s">
        <v>1712</v>
      </c>
      <c r="C821" s="1" t="s">
        <v>1699</v>
      </c>
      <c r="D821" s="1" t="s">
        <v>1700</v>
      </c>
      <c r="E821" s="1" t="s">
        <v>1713</v>
      </c>
      <c r="F821" s="1" t="str">
        <f>HYPERLINK("https://talan.bank.gov.ua/get-user-certificate/J532571hoWHRYQxRDtUq","Завантажити сертифікат")</f>
        <v>Завантажити сертифікат</v>
      </c>
    </row>
    <row r="822" spans="1:6" ht="28.8" x14ac:dyDescent="0.3">
      <c r="A822" s="2">
        <v>821</v>
      </c>
      <c r="B822" s="1" t="s">
        <v>1714</v>
      </c>
      <c r="C822" s="1" t="s">
        <v>1699</v>
      </c>
      <c r="D822" s="1" t="s">
        <v>1700</v>
      </c>
      <c r="E822" s="1" t="s">
        <v>1715</v>
      </c>
      <c r="F822" s="1" t="str">
        <f>HYPERLINK("https://talan.bank.gov.ua/get-user-certificate/J5325dhSW5bQngYvUS6Q","Завантажити сертифікат")</f>
        <v>Завантажити сертифікат</v>
      </c>
    </row>
    <row r="823" spans="1:6" ht="28.8" x14ac:dyDescent="0.3">
      <c r="A823" s="2">
        <v>822</v>
      </c>
      <c r="B823" s="1" t="s">
        <v>1716</v>
      </c>
      <c r="C823" s="1" t="s">
        <v>1699</v>
      </c>
      <c r="D823" s="1" t="s">
        <v>1700</v>
      </c>
      <c r="E823" s="1" t="s">
        <v>1717</v>
      </c>
      <c r="F823" s="1" t="str">
        <f>HYPERLINK("https://talan.bank.gov.ua/get-user-certificate/J5325pdTWIJJ3xcUh8mi","Завантажити сертифікат")</f>
        <v>Завантажити сертифікат</v>
      </c>
    </row>
    <row r="824" spans="1:6" x14ac:dyDescent="0.3">
      <c r="A824" s="2">
        <v>823</v>
      </c>
      <c r="B824" s="1" t="s">
        <v>1718</v>
      </c>
      <c r="C824" s="1" t="s">
        <v>1699</v>
      </c>
      <c r="D824" s="1" t="s">
        <v>1700</v>
      </c>
      <c r="E824" s="1" t="s">
        <v>1719</v>
      </c>
      <c r="F824" s="1" t="str">
        <f>HYPERLINK("https://talan.bank.gov.ua/get-user-certificate/J5325rIIg5HRjXhlk0BR","Завантажити сертифікат")</f>
        <v>Завантажити сертифікат</v>
      </c>
    </row>
    <row r="825" spans="1:6" x14ac:dyDescent="0.3">
      <c r="A825" s="2">
        <v>824</v>
      </c>
      <c r="B825" s="1" t="s">
        <v>1720</v>
      </c>
      <c r="C825" s="1" t="s">
        <v>1699</v>
      </c>
      <c r="D825" s="1" t="s">
        <v>1700</v>
      </c>
      <c r="E825" s="1" t="s">
        <v>1721</v>
      </c>
      <c r="F825" s="1" t="str">
        <f>HYPERLINK("https://talan.bank.gov.ua/get-user-certificate/J5325sLrI9s1Ki5pWt6D","Завантажити сертифікат")</f>
        <v>Завантажити сертифікат</v>
      </c>
    </row>
    <row r="826" spans="1:6" x14ac:dyDescent="0.3">
      <c r="A826" s="2">
        <v>825</v>
      </c>
      <c r="B826" s="1" t="s">
        <v>1722</v>
      </c>
      <c r="C826" s="1" t="s">
        <v>1699</v>
      </c>
      <c r="D826" s="1" t="s">
        <v>1700</v>
      </c>
      <c r="E826" s="1" t="s">
        <v>1723</v>
      </c>
      <c r="F826" s="1" t="str">
        <f>HYPERLINK("https://talan.bank.gov.ua/get-user-certificate/J5325SRDROp6-6E-fdyH","Завантажити сертифікат")</f>
        <v>Завантажити сертифікат</v>
      </c>
    </row>
    <row r="827" spans="1:6" x14ac:dyDescent="0.3">
      <c r="A827" s="2">
        <v>826</v>
      </c>
      <c r="B827" s="1" t="s">
        <v>1724</v>
      </c>
      <c r="C827" s="1" t="s">
        <v>1699</v>
      </c>
      <c r="D827" s="1" t="s">
        <v>1700</v>
      </c>
      <c r="E827" s="1" t="s">
        <v>1725</v>
      </c>
      <c r="F827" s="1" t="str">
        <f>HYPERLINK("https://talan.bank.gov.ua/get-user-certificate/J5325Ai_KUKSIF2SfTJ-","Завантажити сертифікат")</f>
        <v>Завантажити сертифікат</v>
      </c>
    </row>
    <row r="828" spans="1:6" x14ac:dyDescent="0.3">
      <c r="A828" s="2">
        <v>827</v>
      </c>
      <c r="B828" s="1" t="s">
        <v>1726</v>
      </c>
      <c r="C828" s="1" t="s">
        <v>1699</v>
      </c>
      <c r="D828" s="1" t="s">
        <v>1700</v>
      </c>
      <c r="E828" s="1" t="s">
        <v>1727</v>
      </c>
      <c r="F828" s="1" t="str">
        <f>HYPERLINK("https://talan.bank.gov.ua/get-user-certificate/J5325CbrvrV-TJS8PToE","Завантажити сертифікат")</f>
        <v>Завантажити сертифікат</v>
      </c>
    </row>
    <row r="829" spans="1:6" x14ac:dyDescent="0.3">
      <c r="A829" s="2">
        <v>828</v>
      </c>
      <c r="B829" s="1" t="s">
        <v>1728</v>
      </c>
      <c r="C829" s="1" t="s">
        <v>1699</v>
      </c>
      <c r="D829" s="1" t="s">
        <v>1700</v>
      </c>
      <c r="E829" s="1" t="s">
        <v>1729</v>
      </c>
      <c r="F829" s="1" t="str">
        <f>HYPERLINK("https://talan.bank.gov.ua/get-user-certificate/J5325TJv59L-QPPj7Doi","Завантажити сертифікат")</f>
        <v>Завантажити сертифікат</v>
      </c>
    </row>
    <row r="830" spans="1:6" x14ac:dyDescent="0.3">
      <c r="A830" s="2">
        <v>829</v>
      </c>
      <c r="B830" s="1" t="s">
        <v>1730</v>
      </c>
      <c r="C830" s="1" t="s">
        <v>1699</v>
      </c>
      <c r="D830" s="1" t="s">
        <v>1700</v>
      </c>
      <c r="E830" s="1" t="s">
        <v>1731</v>
      </c>
      <c r="F830" s="1" t="str">
        <f>HYPERLINK("https://talan.bank.gov.ua/get-user-certificate/J5325k5H3CUikj494Hen","Завантажити сертифікат")</f>
        <v>Завантажити сертифікат</v>
      </c>
    </row>
    <row r="831" spans="1:6" x14ac:dyDescent="0.3">
      <c r="A831" s="2">
        <v>830</v>
      </c>
      <c r="B831" s="1" t="s">
        <v>1732</v>
      </c>
      <c r="C831" s="1" t="s">
        <v>1699</v>
      </c>
      <c r="D831" s="1" t="s">
        <v>1700</v>
      </c>
      <c r="E831" s="1" t="s">
        <v>1733</v>
      </c>
      <c r="F831" s="1" t="str">
        <f>HYPERLINK("https://talan.bank.gov.ua/get-user-certificate/J5325crnX997G6n1OXff","Завантажити сертифікат")</f>
        <v>Завантажити сертифікат</v>
      </c>
    </row>
    <row r="832" spans="1:6" x14ac:dyDescent="0.3">
      <c r="A832" s="2">
        <v>831</v>
      </c>
      <c r="B832" s="1" t="s">
        <v>1734</v>
      </c>
      <c r="C832" s="1" t="s">
        <v>1699</v>
      </c>
      <c r="D832" s="1" t="s">
        <v>1700</v>
      </c>
      <c r="E832" s="1" t="s">
        <v>1735</v>
      </c>
      <c r="F832" s="1" t="str">
        <f>HYPERLINK("https://talan.bank.gov.ua/get-user-certificate/J5325Uy4wb937TLIe362","Завантажити сертифікат")</f>
        <v>Завантажити сертифікат</v>
      </c>
    </row>
    <row r="833" spans="1:6" x14ac:dyDescent="0.3">
      <c r="A833" s="2">
        <v>832</v>
      </c>
      <c r="B833" s="1" t="s">
        <v>1736</v>
      </c>
      <c r="C833" s="1" t="s">
        <v>1699</v>
      </c>
      <c r="D833" s="1" t="s">
        <v>1700</v>
      </c>
      <c r="E833" s="1" t="s">
        <v>1737</v>
      </c>
      <c r="F833" s="1" t="str">
        <f>HYPERLINK("https://talan.bank.gov.ua/get-user-certificate/J5325bUL8_aJZ-XzSNVP","Завантажити сертифікат")</f>
        <v>Завантажити сертифікат</v>
      </c>
    </row>
    <row r="834" spans="1:6" x14ac:dyDescent="0.3">
      <c r="A834" s="2">
        <v>833</v>
      </c>
      <c r="B834" s="1" t="s">
        <v>1738</v>
      </c>
      <c r="C834" s="1" t="s">
        <v>1699</v>
      </c>
      <c r="D834" s="1" t="s">
        <v>1700</v>
      </c>
      <c r="E834" s="1" t="s">
        <v>1739</v>
      </c>
      <c r="F834" s="1" t="str">
        <f>HYPERLINK("https://talan.bank.gov.ua/get-user-certificate/J5325rQVSxQoNHosgTi9","Завантажити сертифікат")</f>
        <v>Завантажити сертифікат</v>
      </c>
    </row>
    <row r="835" spans="1:6" x14ac:dyDescent="0.3">
      <c r="A835" s="2">
        <v>834</v>
      </c>
      <c r="B835" s="1" t="s">
        <v>1740</v>
      </c>
      <c r="C835" s="1" t="s">
        <v>1699</v>
      </c>
      <c r="D835" s="1" t="s">
        <v>1700</v>
      </c>
      <c r="E835" s="1" t="s">
        <v>1741</v>
      </c>
      <c r="F835" s="1" t="str">
        <f>HYPERLINK("https://talan.bank.gov.ua/get-user-certificate/J5325TpU0RbwnTKUcCSw","Завантажити сертифікат")</f>
        <v>Завантажити сертифікат</v>
      </c>
    </row>
    <row r="836" spans="1:6" ht="28.8" x14ac:dyDescent="0.3">
      <c r="A836" s="2">
        <v>835</v>
      </c>
      <c r="B836" s="1" t="s">
        <v>1742</v>
      </c>
      <c r="C836" s="1" t="s">
        <v>1743</v>
      </c>
      <c r="D836" s="1" t="s">
        <v>1744</v>
      </c>
      <c r="E836" s="1" t="s">
        <v>1745</v>
      </c>
      <c r="F836" s="1" t="str">
        <f>HYPERLINK("https://talan.bank.gov.ua/get-user-certificate/J5325bL7z3iHX_6MQ1yA","Завантажити сертифікат")</f>
        <v>Завантажити сертифікат</v>
      </c>
    </row>
    <row r="837" spans="1:6" ht="28.8" x14ac:dyDescent="0.3">
      <c r="A837" s="2">
        <v>836</v>
      </c>
      <c r="B837" s="1" t="s">
        <v>1746</v>
      </c>
      <c r="C837" s="1" t="s">
        <v>1743</v>
      </c>
      <c r="D837" s="1" t="s">
        <v>1744</v>
      </c>
      <c r="E837" s="1" t="s">
        <v>1747</v>
      </c>
      <c r="F837" s="1" t="str">
        <f>HYPERLINK("https://talan.bank.gov.ua/get-user-certificate/J5325CMcdbu5oN_NYwGX","Завантажити сертифікат")</f>
        <v>Завантажити сертифікат</v>
      </c>
    </row>
    <row r="838" spans="1:6" ht="28.8" x14ac:dyDescent="0.3">
      <c r="A838" s="2">
        <v>837</v>
      </c>
      <c r="B838" s="1" t="s">
        <v>1748</v>
      </c>
      <c r="C838" s="1" t="s">
        <v>1743</v>
      </c>
      <c r="D838" s="1" t="s">
        <v>1744</v>
      </c>
      <c r="E838" s="1" t="s">
        <v>1749</v>
      </c>
      <c r="F838" s="1" t="str">
        <f>HYPERLINK("https://talan.bank.gov.ua/get-user-certificate/J5325GeAaYLR6EoXsTKN","Завантажити сертифікат")</f>
        <v>Завантажити сертифікат</v>
      </c>
    </row>
    <row r="839" spans="1:6" ht="28.8" x14ac:dyDescent="0.3">
      <c r="A839" s="2">
        <v>838</v>
      </c>
      <c r="B839" s="1" t="s">
        <v>1750</v>
      </c>
      <c r="C839" s="1" t="s">
        <v>1743</v>
      </c>
      <c r="D839" s="1" t="s">
        <v>1744</v>
      </c>
      <c r="E839" s="1" t="s">
        <v>1751</v>
      </c>
      <c r="F839" s="1" t="str">
        <f>HYPERLINK("https://talan.bank.gov.ua/get-user-certificate/J5325bvHwLgVqjuu-gYd","Завантажити сертифікат")</f>
        <v>Завантажити сертифікат</v>
      </c>
    </row>
    <row r="840" spans="1:6" ht="28.8" x14ac:dyDescent="0.3">
      <c r="A840" s="2">
        <v>839</v>
      </c>
      <c r="B840" s="1" t="s">
        <v>1752</v>
      </c>
      <c r="C840" s="1" t="s">
        <v>1743</v>
      </c>
      <c r="D840" s="1" t="s">
        <v>1744</v>
      </c>
      <c r="E840" s="1" t="s">
        <v>1753</v>
      </c>
      <c r="F840" s="1" t="str">
        <f>HYPERLINK("https://talan.bank.gov.ua/get-user-certificate/J5325UzrkOVnjfh-1mQb","Завантажити сертифікат")</f>
        <v>Завантажити сертифікат</v>
      </c>
    </row>
    <row r="841" spans="1:6" ht="28.8" x14ac:dyDescent="0.3">
      <c r="A841" s="2">
        <v>840</v>
      </c>
      <c r="B841" s="1" t="s">
        <v>1754</v>
      </c>
      <c r="C841" s="1" t="s">
        <v>1743</v>
      </c>
      <c r="D841" s="1" t="s">
        <v>1744</v>
      </c>
      <c r="E841" s="1" t="s">
        <v>1755</v>
      </c>
      <c r="F841" s="1" t="str">
        <f>HYPERLINK("https://talan.bank.gov.ua/get-user-certificate/J53254ZVjDMaH2eMKl8U","Завантажити сертифікат")</f>
        <v>Завантажити сертифікат</v>
      </c>
    </row>
    <row r="842" spans="1:6" ht="28.8" x14ac:dyDescent="0.3">
      <c r="A842" s="2">
        <v>841</v>
      </c>
      <c r="B842" s="1" t="s">
        <v>1756</v>
      </c>
      <c r="C842" s="1" t="s">
        <v>1743</v>
      </c>
      <c r="D842" s="1" t="s">
        <v>1744</v>
      </c>
      <c r="E842" s="1" t="s">
        <v>1757</v>
      </c>
      <c r="F842" s="1" t="str">
        <f>HYPERLINK("https://talan.bank.gov.ua/get-user-certificate/J5325pRQby-IxamFP-7n","Завантажити сертифікат")</f>
        <v>Завантажити сертифікат</v>
      </c>
    </row>
    <row r="843" spans="1:6" ht="28.8" x14ac:dyDescent="0.3">
      <c r="A843" s="2">
        <v>842</v>
      </c>
      <c r="B843" s="1" t="s">
        <v>1758</v>
      </c>
      <c r="C843" s="1" t="s">
        <v>1743</v>
      </c>
      <c r="D843" s="1" t="s">
        <v>1744</v>
      </c>
      <c r="E843" s="1" t="s">
        <v>1759</v>
      </c>
      <c r="F843" s="1" t="str">
        <f>HYPERLINK("https://talan.bank.gov.ua/get-user-certificate/J5325I-a66gBfyo7kf0J","Завантажити сертифікат")</f>
        <v>Завантажити сертифікат</v>
      </c>
    </row>
    <row r="844" spans="1:6" ht="28.8" x14ac:dyDescent="0.3">
      <c r="A844" s="2">
        <v>843</v>
      </c>
      <c r="B844" s="1" t="s">
        <v>1760</v>
      </c>
      <c r="C844" s="1" t="s">
        <v>1743</v>
      </c>
      <c r="D844" s="1" t="s">
        <v>1744</v>
      </c>
      <c r="E844" s="1" t="s">
        <v>1761</v>
      </c>
      <c r="F844" s="1" t="str">
        <f>HYPERLINK("https://talan.bank.gov.ua/get-user-certificate/J5325E3fGgxYq8NCr0cn","Завантажити сертифікат")</f>
        <v>Завантажити сертифікат</v>
      </c>
    </row>
    <row r="845" spans="1:6" ht="28.8" x14ac:dyDescent="0.3">
      <c r="A845" s="2">
        <v>844</v>
      </c>
      <c r="B845" s="1" t="s">
        <v>1762</v>
      </c>
      <c r="C845" s="1" t="s">
        <v>1743</v>
      </c>
      <c r="D845" s="1" t="s">
        <v>1744</v>
      </c>
      <c r="E845" s="1" t="s">
        <v>1763</v>
      </c>
      <c r="F845" s="1" t="str">
        <f>HYPERLINK("https://talan.bank.gov.ua/get-user-certificate/J5325qyFl8Jj7Yg0hMvQ","Завантажити сертифікат")</f>
        <v>Завантажити сертифікат</v>
      </c>
    </row>
    <row r="846" spans="1:6" ht="28.8" x14ac:dyDescent="0.3">
      <c r="A846" s="2">
        <v>845</v>
      </c>
      <c r="B846" s="1" t="s">
        <v>1764</v>
      </c>
      <c r="C846" s="1" t="s">
        <v>1743</v>
      </c>
      <c r="D846" s="1" t="s">
        <v>1744</v>
      </c>
      <c r="E846" s="1" t="s">
        <v>1765</v>
      </c>
      <c r="F846" s="1" t="str">
        <f>HYPERLINK("https://talan.bank.gov.ua/get-user-certificate/J5325evTFpX8WQMyicYp","Завантажити сертифікат")</f>
        <v>Завантажити сертифікат</v>
      </c>
    </row>
    <row r="847" spans="1:6" ht="28.8" x14ac:dyDescent="0.3">
      <c r="A847" s="2">
        <v>846</v>
      </c>
      <c r="B847" s="1" t="s">
        <v>1766</v>
      </c>
      <c r="C847" s="1" t="s">
        <v>1743</v>
      </c>
      <c r="D847" s="1" t="s">
        <v>1744</v>
      </c>
      <c r="E847" s="1" t="s">
        <v>1767</v>
      </c>
      <c r="F847" s="1" t="str">
        <f>HYPERLINK("https://talan.bank.gov.ua/get-user-certificate/J5325GLj2ogoooalo-Xr","Завантажити сертифікат")</f>
        <v>Завантажити сертифікат</v>
      </c>
    </row>
    <row r="848" spans="1:6" ht="28.8" x14ac:dyDescent="0.3">
      <c r="A848" s="2">
        <v>847</v>
      </c>
      <c r="B848" s="1" t="s">
        <v>1768</v>
      </c>
      <c r="C848" s="1" t="s">
        <v>1743</v>
      </c>
      <c r="D848" s="1" t="s">
        <v>1744</v>
      </c>
      <c r="E848" s="1" t="s">
        <v>1769</v>
      </c>
      <c r="F848" s="1" t="str">
        <f>HYPERLINK("https://talan.bank.gov.ua/get-user-certificate/J5325yRFhDc_PQN8uh5x","Завантажити сертифікат")</f>
        <v>Завантажити сертифікат</v>
      </c>
    </row>
    <row r="849" spans="1:6" ht="28.8" x14ac:dyDescent="0.3">
      <c r="A849" s="2">
        <v>848</v>
      </c>
      <c r="B849" s="1" t="s">
        <v>1770</v>
      </c>
      <c r="C849" s="1" t="s">
        <v>1743</v>
      </c>
      <c r="D849" s="1" t="s">
        <v>1744</v>
      </c>
      <c r="E849" s="1" t="s">
        <v>1771</v>
      </c>
      <c r="F849" s="1" t="str">
        <f>HYPERLINK("https://talan.bank.gov.ua/get-user-certificate/J5325cUInJx18kfMWmAR","Завантажити сертифікат")</f>
        <v>Завантажити сертифікат</v>
      </c>
    </row>
    <row r="850" spans="1:6" ht="28.8" x14ac:dyDescent="0.3">
      <c r="A850" s="2">
        <v>849</v>
      </c>
      <c r="B850" s="1" t="s">
        <v>1772</v>
      </c>
      <c r="C850" s="1" t="s">
        <v>1743</v>
      </c>
      <c r="D850" s="1" t="s">
        <v>1744</v>
      </c>
      <c r="E850" s="1" t="s">
        <v>1773</v>
      </c>
      <c r="F850" s="1" t="str">
        <f>HYPERLINK("https://talan.bank.gov.ua/get-user-certificate/J5325JMuOxNwG46TNvRg","Завантажити сертифікат")</f>
        <v>Завантажити сертифікат</v>
      </c>
    </row>
    <row r="851" spans="1:6" ht="28.8" x14ac:dyDescent="0.3">
      <c r="A851" s="2">
        <v>850</v>
      </c>
      <c r="B851" s="1" t="s">
        <v>1774</v>
      </c>
      <c r="C851" s="1" t="s">
        <v>1775</v>
      </c>
      <c r="D851" s="1" t="s">
        <v>1776</v>
      </c>
      <c r="E851" s="1" t="s">
        <v>1777</v>
      </c>
      <c r="F851" s="1" t="str">
        <f>HYPERLINK("https://talan.bank.gov.ua/get-user-certificate/J5325mXaX98bZGOHKLhY","Завантажити сертифікат")</f>
        <v>Завантажити сертифікат</v>
      </c>
    </row>
    <row r="852" spans="1:6" ht="28.8" x14ac:dyDescent="0.3">
      <c r="A852" s="2">
        <v>851</v>
      </c>
      <c r="B852" s="1" t="s">
        <v>1778</v>
      </c>
      <c r="C852" s="1" t="s">
        <v>1775</v>
      </c>
      <c r="D852" s="1" t="s">
        <v>1776</v>
      </c>
      <c r="E852" s="1" t="s">
        <v>1779</v>
      </c>
      <c r="F852" s="1" t="str">
        <f>HYPERLINK("https://talan.bank.gov.ua/get-user-certificate/J5325spOXEf0OR2XVt15","Завантажити сертифікат")</f>
        <v>Завантажити сертифікат</v>
      </c>
    </row>
    <row r="853" spans="1:6" ht="28.8" x14ac:dyDescent="0.3">
      <c r="A853" s="2">
        <v>852</v>
      </c>
      <c r="B853" s="1" t="s">
        <v>1780</v>
      </c>
      <c r="C853" s="1" t="s">
        <v>1775</v>
      </c>
      <c r="D853" s="1" t="s">
        <v>1776</v>
      </c>
      <c r="E853" s="1" t="s">
        <v>1781</v>
      </c>
      <c r="F853" s="1" t="str">
        <f>HYPERLINK("https://talan.bank.gov.ua/get-user-certificate/J5325s-F7xSO_pL1asZ7","Завантажити сертифікат")</f>
        <v>Завантажити сертифікат</v>
      </c>
    </row>
    <row r="854" spans="1:6" ht="28.8" x14ac:dyDescent="0.3">
      <c r="A854" s="2">
        <v>853</v>
      </c>
      <c r="B854" s="1" t="s">
        <v>1782</v>
      </c>
      <c r="C854" s="1" t="s">
        <v>1775</v>
      </c>
      <c r="D854" s="1" t="s">
        <v>1776</v>
      </c>
      <c r="E854" s="1" t="s">
        <v>1783</v>
      </c>
      <c r="F854" s="1" t="str">
        <f>HYPERLINK("https://talan.bank.gov.ua/get-user-certificate/J53254Hx7m190GDboMZo","Завантажити сертифікат")</f>
        <v>Завантажити сертифікат</v>
      </c>
    </row>
    <row r="855" spans="1:6" ht="28.8" x14ac:dyDescent="0.3">
      <c r="A855" s="2">
        <v>854</v>
      </c>
      <c r="B855" s="1" t="s">
        <v>1784</v>
      </c>
      <c r="C855" s="1" t="s">
        <v>1775</v>
      </c>
      <c r="D855" s="1" t="s">
        <v>1776</v>
      </c>
      <c r="E855" s="1" t="s">
        <v>1785</v>
      </c>
      <c r="F855" s="1" t="str">
        <f>HYPERLINK("https://talan.bank.gov.ua/get-user-certificate/J5325ZbnpuIKc1RVHe-A","Завантажити сертифікат")</f>
        <v>Завантажити сертифікат</v>
      </c>
    </row>
    <row r="856" spans="1:6" ht="28.8" x14ac:dyDescent="0.3">
      <c r="A856" s="2">
        <v>855</v>
      </c>
      <c r="B856" s="1" t="s">
        <v>1786</v>
      </c>
      <c r="C856" s="1" t="s">
        <v>1775</v>
      </c>
      <c r="D856" s="1" t="s">
        <v>1776</v>
      </c>
      <c r="E856" s="1" t="s">
        <v>1787</v>
      </c>
      <c r="F856" s="1" t="str">
        <f>HYPERLINK("https://talan.bank.gov.ua/get-user-certificate/J5325MBpfrciYPpP3bkJ","Завантажити сертифікат")</f>
        <v>Завантажити сертифікат</v>
      </c>
    </row>
    <row r="857" spans="1:6" ht="28.8" x14ac:dyDescent="0.3">
      <c r="A857" s="2">
        <v>856</v>
      </c>
      <c r="B857" s="1" t="s">
        <v>1788</v>
      </c>
      <c r="C857" s="1" t="s">
        <v>1775</v>
      </c>
      <c r="D857" s="1" t="s">
        <v>1776</v>
      </c>
      <c r="E857" s="1" t="s">
        <v>1789</v>
      </c>
      <c r="F857" s="1" t="str">
        <f>HYPERLINK("https://talan.bank.gov.ua/get-user-certificate/J5325Qt0rcdmbCMNUwKP","Завантажити сертифікат")</f>
        <v>Завантажити сертифікат</v>
      </c>
    </row>
    <row r="858" spans="1:6" ht="28.8" x14ac:dyDescent="0.3">
      <c r="A858" s="2">
        <v>857</v>
      </c>
      <c r="B858" s="1" t="s">
        <v>1790</v>
      </c>
      <c r="C858" s="1" t="s">
        <v>1775</v>
      </c>
      <c r="D858" s="1" t="s">
        <v>1776</v>
      </c>
      <c r="E858" s="1" t="s">
        <v>1791</v>
      </c>
      <c r="F858" s="1" t="str">
        <f>HYPERLINK("https://talan.bank.gov.ua/get-user-certificate/J5325JlBYuczajAlomx8","Завантажити сертифікат")</f>
        <v>Завантажити сертифікат</v>
      </c>
    </row>
    <row r="859" spans="1:6" ht="28.8" x14ac:dyDescent="0.3">
      <c r="A859" s="2">
        <v>858</v>
      </c>
      <c r="B859" s="1" t="s">
        <v>1792</v>
      </c>
      <c r="C859" s="1" t="s">
        <v>1775</v>
      </c>
      <c r="D859" s="1" t="s">
        <v>1776</v>
      </c>
      <c r="E859" s="1" t="s">
        <v>1793</v>
      </c>
      <c r="F859" s="1" t="str">
        <f>HYPERLINK("https://talan.bank.gov.ua/get-user-certificate/J5325L5RffvYFdYKMBdL","Завантажити сертифікат")</f>
        <v>Завантажити сертифікат</v>
      </c>
    </row>
    <row r="860" spans="1:6" ht="28.8" x14ac:dyDescent="0.3">
      <c r="A860" s="2">
        <v>859</v>
      </c>
      <c r="B860" s="1" t="s">
        <v>1794</v>
      </c>
      <c r="C860" s="1" t="s">
        <v>1775</v>
      </c>
      <c r="D860" s="1" t="s">
        <v>1776</v>
      </c>
      <c r="E860" s="1" t="s">
        <v>1795</v>
      </c>
      <c r="F860" s="1" t="str">
        <f>HYPERLINK("https://talan.bank.gov.ua/get-user-certificate/J5325RIFSe8yzO4t4vhO","Завантажити сертифікат")</f>
        <v>Завантажити сертифікат</v>
      </c>
    </row>
    <row r="861" spans="1:6" ht="28.8" x14ac:dyDescent="0.3">
      <c r="A861" s="2">
        <v>860</v>
      </c>
      <c r="B861" s="1" t="s">
        <v>1796</v>
      </c>
      <c r="C861" s="1" t="s">
        <v>1775</v>
      </c>
      <c r="D861" s="1" t="s">
        <v>1776</v>
      </c>
      <c r="E861" s="1" t="s">
        <v>1797</v>
      </c>
      <c r="F861" s="1" t="str">
        <f>HYPERLINK("https://talan.bank.gov.ua/get-user-certificate/J5325oFbUzbVu1rWndO3","Завантажити сертифікат")</f>
        <v>Завантажити сертифікат</v>
      </c>
    </row>
    <row r="862" spans="1:6" ht="28.8" x14ac:dyDescent="0.3">
      <c r="A862" s="2">
        <v>861</v>
      </c>
      <c r="B862" s="1" t="s">
        <v>1798</v>
      </c>
      <c r="C862" s="1" t="s">
        <v>1775</v>
      </c>
      <c r="D862" s="1" t="s">
        <v>1776</v>
      </c>
      <c r="E862" s="1" t="s">
        <v>1799</v>
      </c>
      <c r="F862" s="1" t="str">
        <f>HYPERLINK("https://talan.bank.gov.ua/get-user-certificate/J5325xWf-rkXNXFHFc_M","Завантажити сертифікат")</f>
        <v>Завантажити сертифікат</v>
      </c>
    </row>
    <row r="863" spans="1:6" ht="28.8" x14ac:dyDescent="0.3">
      <c r="A863" s="2">
        <v>862</v>
      </c>
      <c r="B863" s="1" t="s">
        <v>1800</v>
      </c>
      <c r="C863" s="1" t="s">
        <v>1775</v>
      </c>
      <c r="D863" s="1" t="s">
        <v>1776</v>
      </c>
      <c r="E863" s="1" t="s">
        <v>1801</v>
      </c>
      <c r="F863" s="1" t="str">
        <f>HYPERLINK("https://talan.bank.gov.ua/get-user-certificate/J5325snRZgrTKNa08JAG","Завантажити сертифікат")</f>
        <v>Завантажити сертифікат</v>
      </c>
    </row>
    <row r="864" spans="1:6" ht="28.8" x14ac:dyDescent="0.3">
      <c r="A864" s="2">
        <v>863</v>
      </c>
      <c r="B864" s="1" t="s">
        <v>1802</v>
      </c>
      <c r="C864" s="1" t="s">
        <v>1775</v>
      </c>
      <c r="D864" s="1" t="s">
        <v>1776</v>
      </c>
      <c r="E864" s="1" t="s">
        <v>1803</v>
      </c>
      <c r="F864" s="1" t="str">
        <f>HYPERLINK("https://talan.bank.gov.ua/get-user-certificate/J5325X3WtRuc7vDBh2Zi","Завантажити сертифікат")</f>
        <v>Завантажити сертифікат</v>
      </c>
    </row>
    <row r="865" spans="1:6" ht="28.8" x14ac:dyDescent="0.3">
      <c r="A865" s="2">
        <v>864</v>
      </c>
      <c r="B865" s="1" t="s">
        <v>1804</v>
      </c>
      <c r="C865" s="1" t="s">
        <v>1775</v>
      </c>
      <c r="D865" s="1" t="s">
        <v>1776</v>
      </c>
      <c r="E865" s="1" t="s">
        <v>1805</v>
      </c>
      <c r="F865" s="1" t="str">
        <f>HYPERLINK("https://talan.bank.gov.ua/get-user-certificate/J5325_PR32qCdK4zJBd8","Завантажити сертифікат")</f>
        <v>Завантажити сертифікат</v>
      </c>
    </row>
    <row r="866" spans="1:6" ht="28.8" x14ac:dyDescent="0.3">
      <c r="A866" s="2">
        <v>865</v>
      </c>
      <c r="B866" s="1" t="s">
        <v>1806</v>
      </c>
      <c r="C866" s="1" t="s">
        <v>1775</v>
      </c>
      <c r="D866" s="1" t="s">
        <v>1776</v>
      </c>
      <c r="E866" s="1" t="s">
        <v>1807</v>
      </c>
      <c r="F866" s="1" t="str">
        <f>HYPERLINK("https://talan.bank.gov.ua/get-user-certificate/J5325ampbxV2_9P0q7bd","Завантажити сертифікат")</f>
        <v>Завантажити сертифікат</v>
      </c>
    </row>
    <row r="867" spans="1:6" ht="28.8" x14ac:dyDescent="0.3">
      <c r="A867" s="2">
        <v>866</v>
      </c>
      <c r="B867" s="1" t="s">
        <v>1808</v>
      </c>
      <c r="C867" s="1" t="s">
        <v>1775</v>
      </c>
      <c r="D867" s="1" t="s">
        <v>1776</v>
      </c>
      <c r="E867" s="1" t="s">
        <v>1809</v>
      </c>
      <c r="F867" s="1" t="str">
        <f>HYPERLINK("https://talan.bank.gov.ua/get-user-certificate/J5325f6e0GwHtKkzt-YQ","Завантажити сертифікат")</f>
        <v>Завантажити сертифікат</v>
      </c>
    </row>
    <row r="868" spans="1:6" ht="28.8" x14ac:dyDescent="0.3">
      <c r="A868" s="2">
        <v>867</v>
      </c>
      <c r="B868" s="1" t="s">
        <v>1810</v>
      </c>
      <c r="C868" s="1" t="s">
        <v>1775</v>
      </c>
      <c r="D868" s="1" t="s">
        <v>1776</v>
      </c>
      <c r="E868" s="1" t="s">
        <v>1811</v>
      </c>
      <c r="F868" s="1" t="str">
        <f>HYPERLINK("https://talan.bank.gov.ua/get-user-certificate/J5325yiG4lorODVPs-I2","Завантажити сертифікат")</f>
        <v>Завантажити сертифікат</v>
      </c>
    </row>
    <row r="869" spans="1:6" ht="28.8" x14ac:dyDescent="0.3">
      <c r="A869" s="2">
        <v>868</v>
      </c>
      <c r="B869" s="1" t="s">
        <v>1812</v>
      </c>
      <c r="C869" s="1" t="s">
        <v>1775</v>
      </c>
      <c r="D869" s="1" t="s">
        <v>1776</v>
      </c>
      <c r="E869" s="1" t="s">
        <v>1813</v>
      </c>
      <c r="F869" s="1" t="str">
        <f>HYPERLINK("https://talan.bank.gov.ua/get-user-certificate/J5325UdQoN3HqPi6KCKz","Завантажити сертифікат")</f>
        <v>Завантажити сертифікат</v>
      </c>
    </row>
    <row r="870" spans="1:6" ht="28.8" x14ac:dyDescent="0.3">
      <c r="A870" s="2">
        <v>869</v>
      </c>
      <c r="B870" s="1" t="s">
        <v>1814</v>
      </c>
      <c r="C870" s="1" t="s">
        <v>1775</v>
      </c>
      <c r="D870" s="1" t="s">
        <v>1776</v>
      </c>
      <c r="E870" s="1" t="s">
        <v>1815</v>
      </c>
      <c r="F870" s="1" t="str">
        <f>HYPERLINK("https://talan.bank.gov.ua/get-user-certificate/J53253QOopWUGjOoXua0","Завантажити сертифікат")</f>
        <v>Завантажити сертифікат</v>
      </c>
    </row>
    <row r="871" spans="1:6" ht="28.8" x14ac:dyDescent="0.3">
      <c r="A871" s="2">
        <v>870</v>
      </c>
      <c r="B871" s="1" t="s">
        <v>1816</v>
      </c>
      <c r="C871" s="1" t="s">
        <v>1775</v>
      </c>
      <c r="D871" s="1" t="s">
        <v>1776</v>
      </c>
      <c r="E871" s="1" t="s">
        <v>1817</v>
      </c>
      <c r="F871" s="1" t="str">
        <f>HYPERLINK("https://talan.bank.gov.ua/get-user-certificate/J5325j_UM0rxW3KlJwww","Завантажити сертифікат")</f>
        <v>Завантажити сертифікат</v>
      </c>
    </row>
    <row r="872" spans="1:6" ht="28.8" x14ac:dyDescent="0.3">
      <c r="A872" s="2">
        <v>871</v>
      </c>
      <c r="B872" s="1" t="s">
        <v>1818</v>
      </c>
      <c r="C872" s="1" t="s">
        <v>1775</v>
      </c>
      <c r="D872" s="1" t="s">
        <v>1776</v>
      </c>
      <c r="E872" s="1" t="s">
        <v>1819</v>
      </c>
      <c r="F872" s="1" t="str">
        <f>HYPERLINK("https://talan.bank.gov.ua/get-user-certificate/J5325GuBnEJNvvhb1tBP","Завантажити сертифікат")</f>
        <v>Завантажити сертифікат</v>
      </c>
    </row>
    <row r="873" spans="1:6" ht="28.8" x14ac:dyDescent="0.3">
      <c r="A873" s="2">
        <v>872</v>
      </c>
      <c r="B873" s="1" t="s">
        <v>1820</v>
      </c>
      <c r="C873" s="1" t="s">
        <v>1775</v>
      </c>
      <c r="D873" s="1" t="s">
        <v>1776</v>
      </c>
      <c r="E873" s="1" t="s">
        <v>1821</v>
      </c>
      <c r="F873" s="1" t="str">
        <f>HYPERLINK("https://talan.bank.gov.ua/get-user-certificate/J5325KGnHHeJuFB3Qfcl","Завантажити сертифікат")</f>
        <v>Завантажити сертифікат</v>
      </c>
    </row>
    <row r="874" spans="1:6" ht="28.8" x14ac:dyDescent="0.3">
      <c r="A874" s="2">
        <v>873</v>
      </c>
      <c r="B874" s="1" t="s">
        <v>1822</v>
      </c>
      <c r="C874" s="1" t="s">
        <v>1775</v>
      </c>
      <c r="D874" s="1" t="s">
        <v>1776</v>
      </c>
      <c r="E874" s="1" t="s">
        <v>1823</v>
      </c>
      <c r="F874" s="1" t="str">
        <f>HYPERLINK("https://talan.bank.gov.ua/get-user-certificate/J5325IpCgh0CT0QAvN8p","Завантажити сертифікат")</f>
        <v>Завантажити сертифікат</v>
      </c>
    </row>
    <row r="875" spans="1:6" ht="28.8" x14ac:dyDescent="0.3">
      <c r="A875" s="2">
        <v>874</v>
      </c>
      <c r="B875" s="1" t="s">
        <v>1824</v>
      </c>
      <c r="C875" s="1" t="s">
        <v>1775</v>
      </c>
      <c r="D875" s="1" t="s">
        <v>1776</v>
      </c>
      <c r="E875" s="1" t="s">
        <v>1825</v>
      </c>
      <c r="F875" s="1" t="str">
        <f>HYPERLINK("https://talan.bank.gov.ua/get-user-certificate/J5325-f2biMivJ1nx87Q","Завантажити сертифікат")</f>
        <v>Завантажити сертифікат</v>
      </c>
    </row>
    <row r="876" spans="1:6" ht="28.8" x14ac:dyDescent="0.3">
      <c r="A876" s="2">
        <v>875</v>
      </c>
      <c r="B876" s="1" t="s">
        <v>1826</v>
      </c>
      <c r="C876" s="1" t="s">
        <v>1775</v>
      </c>
      <c r="D876" s="1" t="s">
        <v>1776</v>
      </c>
      <c r="E876" s="1" t="s">
        <v>1827</v>
      </c>
      <c r="F876" s="1" t="str">
        <f>HYPERLINK("https://talan.bank.gov.ua/get-user-certificate/J5325qXs0UlWhfTomqTQ","Завантажити сертифікат")</f>
        <v>Завантажити сертифікат</v>
      </c>
    </row>
    <row r="877" spans="1:6" ht="28.8" x14ac:dyDescent="0.3">
      <c r="A877" s="2">
        <v>876</v>
      </c>
      <c r="B877" s="1" t="s">
        <v>1828</v>
      </c>
      <c r="C877" s="1" t="s">
        <v>1775</v>
      </c>
      <c r="D877" s="1" t="s">
        <v>1776</v>
      </c>
      <c r="E877" s="1" t="s">
        <v>1829</v>
      </c>
      <c r="F877" s="1" t="str">
        <f>HYPERLINK("https://talan.bank.gov.ua/get-user-certificate/J5325PvKHx6-22ceSzIm","Завантажити сертифікат")</f>
        <v>Завантажити сертифікат</v>
      </c>
    </row>
    <row r="878" spans="1:6" ht="28.8" x14ac:dyDescent="0.3">
      <c r="A878" s="2">
        <v>877</v>
      </c>
      <c r="B878" s="1" t="s">
        <v>1830</v>
      </c>
      <c r="C878" s="1" t="s">
        <v>1775</v>
      </c>
      <c r="D878" s="1" t="s">
        <v>1776</v>
      </c>
      <c r="E878" s="1" t="s">
        <v>1831</v>
      </c>
      <c r="F878" s="1" t="str">
        <f>HYPERLINK("https://talan.bank.gov.ua/get-user-certificate/J5325H7rAPxhjEtNm3bI","Завантажити сертифікат")</f>
        <v>Завантажити сертифікат</v>
      </c>
    </row>
    <row r="879" spans="1:6" ht="28.8" x14ac:dyDescent="0.3">
      <c r="A879" s="2">
        <v>878</v>
      </c>
      <c r="B879" s="1" t="s">
        <v>1832</v>
      </c>
      <c r="C879" s="1" t="s">
        <v>1775</v>
      </c>
      <c r="D879" s="1" t="s">
        <v>1776</v>
      </c>
      <c r="E879" s="1" t="s">
        <v>1833</v>
      </c>
      <c r="F879" s="1" t="str">
        <f>HYPERLINK("https://talan.bank.gov.ua/get-user-certificate/J5325l3-YM6KmcxfNb6C","Завантажити сертифікат")</f>
        <v>Завантажити сертифікат</v>
      </c>
    </row>
    <row r="880" spans="1:6" ht="28.8" x14ac:dyDescent="0.3">
      <c r="A880" s="2">
        <v>879</v>
      </c>
      <c r="B880" s="1" t="s">
        <v>1834</v>
      </c>
      <c r="C880" s="1" t="s">
        <v>1775</v>
      </c>
      <c r="D880" s="1" t="s">
        <v>1776</v>
      </c>
      <c r="E880" s="1" t="s">
        <v>1835</v>
      </c>
      <c r="F880" s="1" t="str">
        <f>HYPERLINK("https://talan.bank.gov.ua/get-user-certificate/J5325IoC9qFT6zfVkRcU","Завантажити сертифікат")</f>
        <v>Завантажити сертифікат</v>
      </c>
    </row>
    <row r="881" spans="1:6" ht="28.8" x14ac:dyDescent="0.3">
      <c r="A881" s="2">
        <v>880</v>
      </c>
      <c r="B881" s="1" t="s">
        <v>1836</v>
      </c>
      <c r="C881" s="1" t="s">
        <v>1775</v>
      </c>
      <c r="D881" s="1" t="s">
        <v>1776</v>
      </c>
      <c r="E881" s="1" t="s">
        <v>1837</v>
      </c>
      <c r="F881" s="1" t="str">
        <f>HYPERLINK("https://talan.bank.gov.ua/get-user-certificate/J53259Snoa0Xi5Tb4bho","Завантажити сертифікат")</f>
        <v>Завантажити сертифікат</v>
      </c>
    </row>
    <row r="882" spans="1:6" ht="28.8" x14ac:dyDescent="0.3">
      <c r="A882" s="2">
        <v>881</v>
      </c>
      <c r="B882" s="1" t="s">
        <v>1838</v>
      </c>
      <c r="C882" s="1" t="s">
        <v>1775</v>
      </c>
      <c r="D882" s="1" t="s">
        <v>1776</v>
      </c>
      <c r="E882" s="1" t="s">
        <v>1839</v>
      </c>
      <c r="F882" s="1" t="str">
        <f>HYPERLINK("https://talan.bank.gov.ua/get-user-certificate/J5325MXs357JpqQDdxCj","Завантажити сертифікат")</f>
        <v>Завантажити сертифікат</v>
      </c>
    </row>
    <row r="883" spans="1:6" ht="28.8" x14ac:dyDescent="0.3">
      <c r="A883" s="2">
        <v>882</v>
      </c>
      <c r="B883" s="1" t="s">
        <v>1840</v>
      </c>
      <c r="C883" s="1" t="s">
        <v>1775</v>
      </c>
      <c r="D883" s="1" t="s">
        <v>1776</v>
      </c>
      <c r="E883" s="1" t="s">
        <v>1841</v>
      </c>
      <c r="F883" s="1" t="str">
        <f>HYPERLINK("https://talan.bank.gov.ua/get-user-certificate/J5325shlCNzVeO1WQuN-","Завантажити сертифікат")</f>
        <v>Завантажити сертифікат</v>
      </c>
    </row>
    <row r="884" spans="1:6" ht="28.8" x14ac:dyDescent="0.3">
      <c r="A884" s="2">
        <v>883</v>
      </c>
      <c r="B884" s="1" t="s">
        <v>1842</v>
      </c>
      <c r="C884" s="1" t="s">
        <v>1775</v>
      </c>
      <c r="D884" s="1" t="s">
        <v>1776</v>
      </c>
      <c r="E884" s="1" t="s">
        <v>1843</v>
      </c>
      <c r="F884" s="1" t="str">
        <f>HYPERLINK("https://talan.bank.gov.ua/get-user-certificate/J5325FXPhBgcE78zzr22","Завантажити сертифікат")</f>
        <v>Завантажити сертифікат</v>
      </c>
    </row>
    <row r="885" spans="1:6" ht="28.8" x14ac:dyDescent="0.3">
      <c r="A885" s="2">
        <v>884</v>
      </c>
      <c r="B885" s="1" t="s">
        <v>1844</v>
      </c>
      <c r="C885" s="1" t="s">
        <v>1775</v>
      </c>
      <c r="D885" s="1" t="s">
        <v>1776</v>
      </c>
      <c r="E885" s="1" t="s">
        <v>1845</v>
      </c>
      <c r="F885" s="1" t="str">
        <f>HYPERLINK("https://talan.bank.gov.ua/get-user-certificate/J5325fBBZY3e0ebfrJGN","Завантажити сертифікат")</f>
        <v>Завантажити сертифікат</v>
      </c>
    </row>
    <row r="886" spans="1:6" ht="28.8" x14ac:dyDescent="0.3">
      <c r="A886" s="2">
        <v>885</v>
      </c>
      <c r="B886" s="1" t="s">
        <v>1846</v>
      </c>
      <c r="C886" s="1" t="s">
        <v>1775</v>
      </c>
      <c r="D886" s="1" t="s">
        <v>1776</v>
      </c>
      <c r="E886" s="1" t="s">
        <v>1847</v>
      </c>
      <c r="F886" s="1" t="str">
        <f>HYPERLINK("https://talan.bank.gov.ua/get-user-certificate/J5325nE_EFzhwGy7VoHx","Завантажити сертифікат")</f>
        <v>Завантажити сертифікат</v>
      </c>
    </row>
    <row r="887" spans="1:6" ht="28.8" x14ac:dyDescent="0.3">
      <c r="A887" s="2">
        <v>886</v>
      </c>
      <c r="B887" s="1" t="s">
        <v>1848</v>
      </c>
      <c r="C887" s="1" t="s">
        <v>1775</v>
      </c>
      <c r="D887" s="1" t="s">
        <v>1776</v>
      </c>
      <c r="E887" s="1" t="s">
        <v>1849</v>
      </c>
      <c r="F887" s="1" t="str">
        <f>HYPERLINK("https://talan.bank.gov.ua/get-user-certificate/J5325yoKPWoNdQTQo7C7","Завантажити сертифікат")</f>
        <v>Завантажити сертифікат</v>
      </c>
    </row>
    <row r="888" spans="1:6" ht="28.8" x14ac:dyDescent="0.3">
      <c r="A888" s="2">
        <v>887</v>
      </c>
      <c r="B888" s="1" t="s">
        <v>1850</v>
      </c>
      <c r="C888" s="1" t="s">
        <v>1775</v>
      </c>
      <c r="D888" s="1" t="s">
        <v>1776</v>
      </c>
      <c r="E888" s="1" t="s">
        <v>1851</v>
      </c>
      <c r="F888" s="1" t="str">
        <f>HYPERLINK("https://talan.bank.gov.ua/get-user-certificate/J5325wMM5AyMrdBJ3Gki","Завантажити сертифікат")</f>
        <v>Завантажити сертифікат</v>
      </c>
    </row>
    <row r="889" spans="1:6" ht="28.8" x14ac:dyDescent="0.3">
      <c r="A889" s="2">
        <v>888</v>
      </c>
      <c r="B889" s="1" t="s">
        <v>1852</v>
      </c>
      <c r="C889" s="1" t="s">
        <v>1775</v>
      </c>
      <c r="D889" s="1" t="s">
        <v>1776</v>
      </c>
      <c r="E889" s="1" t="s">
        <v>1853</v>
      </c>
      <c r="F889" s="1" t="str">
        <f>HYPERLINK("https://talan.bank.gov.ua/get-user-certificate/J5325o4uO5_DCZhRZ3dP","Завантажити сертифікат")</f>
        <v>Завантажити сертифікат</v>
      </c>
    </row>
    <row r="890" spans="1:6" ht="28.8" x14ac:dyDescent="0.3">
      <c r="A890" s="2">
        <v>889</v>
      </c>
      <c r="B890" s="1" t="s">
        <v>1854</v>
      </c>
      <c r="C890" s="1" t="s">
        <v>1775</v>
      </c>
      <c r="D890" s="1" t="s">
        <v>1776</v>
      </c>
      <c r="E890" s="1" t="s">
        <v>1855</v>
      </c>
      <c r="F890" s="1" t="str">
        <f>HYPERLINK("https://talan.bank.gov.ua/get-user-certificate/J5325CRGgtP5YYpd-2Oo","Завантажити сертифікат")</f>
        <v>Завантажити сертифікат</v>
      </c>
    </row>
    <row r="891" spans="1:6" ht="28.8" x14ac:dyDescent="0.3">
      <c r="A891" s="2">
        <v>890</v>
      </c>
      <c r="B891" s="1" t="s">
        <v>1856</v>
      </c>
      <c r="C891" s="1" t="s">
        <v>1775</v>
      </c>
      <c r="D891" s="1" t="s">
        <v>1776</v>
      </c>
      <c r="E891" s="1" t="s">
        <v>1857</v>
      </c>
      <c r="F891" s="1" t="str">
        <f>HYPERLINK("https://talan.bank.gov.ua/get-user-certificate/J53251znaVy14A5dhI5X","Завантажити сертифікат")</f>
        <v>Завантажити сертифікат</v>
      </c>
    </row>
    <row r="892" spans="1:6" ht="28.8" x14ac:dyDescent="0.3">
      <c r="A892" s="2">
        <v>891</v>
      </c>
      <c r="B892" s="1" t="s">
        <v>1858</v>
      </c>
      <c r="C892" s="1" t="s">
        <v>1775</v>
      </c>
      <c r="D892" s="1" t="s">
        <v>1776</v>
      </c>
      <c r="E892" s="1" t="s">
        <v>1859</v>
      </c>
      <c r="F892" s="1" t="str">
        <f>HYPERLINK("https://talan.bank.gov.ua/get-user-certificate/J5325iLCFP94S4V8KFri","Завантажити сертифікат")</f>
        <v>Завантажити сертифікат</v>
      </c>
    </row>
    <row r="893" spans="1:6" ht="28.8" x14ac:dyDescent="0.3">
      <c r="A893" s="2">
        <v>892</v>
      </c>
      <c r="B893" s="1" t="s">
        <v>1860</v>
      </c>
      <c r="C893" s="1" t="s">
        <v>1775</v>
      </c>
      <c r="D893" s="1" t="s">
        <v>1776</v>
      </c>
      <c r="E893" s="1" t="s">
        <v>1861</v>
      </c>
      <c r="F893" s="1" t="str">
        <f>HYPERLINK("https://talan.bank.gov.ua/get-user-certificate/J5325TGbgKQDETB8f1ca","Завантажити сертифікат")</f>
        <v>Завантажити сертифікат</v>
      </c>
    </row>
    <row r="894" spans="1:6" ht="28.8" x14ac:dyDescent="0.3">
      <c r="A894" s="2">
        <v>893</v>
      </c>
      <c r="B894" s="1" t="s">
        <v>1862</v>
      </c>
      <c r="C894" s="1" t="s">
        <v>1775</v>
      </c>
      <c r="D894" s="1" t="s">
        <v>1776</v>
      </c>
      <c r="E894" s="1" t="s">
        <v>1863</v>
      </c>
      <c r="F894" s="1" t="str">
        <f>HYPERLINK("https://talan.bank.gov.ua/get-user-certificate/J5325ahodvIx4YEQo54v","Завантажити сертифікат")</f>
        <v>Завантажити сертифікат</v>
      </c>
    </row>
    <row r="895" spans="1:6" ht="28.8" x14ac:dyDescent="0.3">
      <c r="A895" s="2">
        <v>894</v>
      </c>
      <c r="B895" s="1" t="s">
        <v>1864</v>
      </c>
      <c r="C895" s="1" t="s">
        <v>1775</v>
      </c>
      <c r="D895" s="1" t="s">
        <v>1776</v>
      </c>
      <c r="E895" s="1" t="s">
        <v>1865</v>
      </c>
      <c r="F895" s="1" t="str">
        <f>HYPERLINK("https://talan.bank.gov.ua/get-user-certificate/J5325pY8el5uH6r8NlNS","Завантажити сертифікат")</f>
        <v>Завантажити сертифікат</v>
      </c>
    </row>
    <row r="896" spans="1:6" ht="28.8" x14ac:dyDescent="0.3">
      <c r="A896" s="2">
        <v>895</v>
      </c>
      <c r="B896" s="1" t="s">
        <v>1866</v>
      </c>
      <c r="C896" s="1" t="s">
        <v>1775</v>
      </c>
      <c r="D896" s="1" t="s">
        <v>1776</v>
      </c>
      <c r="E896" s="1" t="s">
        <v>1867</v>
      </c>
      <c r="F896" s="1" t="str">
        <f>HYPERLINK("https://talan.bank.gov.ua/get-user-certificate/J5325LB4XdL9LD97kj8B","Завантажити сертифікат")</f>
        <v>Завантажити сертифікат</v>
      </c>
    </row>
    <row r="897" spans="1:6" ht="28.8" x14ac:dyDescent="0.3">
      <c r="A897" s="2">
        <v>896</v>
      </c>
      <c r="B897" s="1" t="s">
        <v>1868</v>
      </c>
      <c r="C897" s="1" t="s">
        <v>1775</v>
      </c>
      <c r="D897" s="1" t="s">
        <v>1776</v>
      </c>
      <c r="E897" s="1" t="s">
        <v>1869</v>
      </c>
      <c r="F897" s="1" t="str">
        <f>HYPERLINK("https://talan.bank.gov.ua/get-user-certificate/J53250L9a6zNK1hTV3kf","Завантажити сертифікат")</f>
        <v>Завантажити сертифікат</v>
      </c>
    </row>
    <row r="898" spans="1:6" x14ac:dyDescent="0.3">
      <c r="A898" s="2">
        <v>897</v>
      </c>
      <c r="B898" s="1" t="s">
        <v>1870</v>
      </c>
      <c r="C898" s="1" t="s">
        <v>1871</v>
      </c>
      <c r="D898" s="1" t="s">
        <v>1872</v>
      </c>
      <c r="E898" s="1" t="s">
        <v>1873</v>
      </c>
      <c r="F898" s="1" t="str">
        <f>HYPERLINK("https://talan.bank.gov.ua/get-user-certificate/J53258aBHHWkWq5EshWG","Завантажити сертифікат")</f>
        <v>Завантажити сертифікат</v>
      </c>
    </row>
    <row r="899" spans="1:6" x14ac:dyDescent="0.3">
      <c r="A899" s="2">
        <v>898</v>
      </c>
      <c r="B899" s="1" t="s">
        <v>1874</v>
      </c>
      <c r="C899" s="1" t="s">
        <v>1871</v>
      </c>
      <c r="D899" s="1" t="s">
        <v>1872</v>
      </c>
      <c r="E899" s="1" t="s">
        <v>1875</v>
      </c>
      <c r="F899" s="1" t="str">
        <f>HYPERLINK("https://talan.bank.gov.ua/get-user-certificate/J5325IKC9j8pMiQ4WLjv","Завантажити сертифікат")</f>
        <v>Завантажити сертифікат</v>
      </c>
    </row>
    <row r="900" spans="1:6" x14ac:dyDescent="0.3">
      <c r="A900" s="2">
        <v>899</v>
      </c>
      <c r="B900" s="1" t="s">
        <v>1876</v>
      </c>
      <c r="C900" s="1" t="s">
        <v>1871</v>
      </c>
      <c r="D900" s="1" t="s">
        <v>1872</v>
      </c>
      <c r="E900" s="1" t="s">
        <v>1877</v>
      </c>
      <c r="F900" s="1" t="str">
        <f>HYPERLINK("https://talan.bank.gov.ua/get-user-certificate/J5325y0N9Gkdk9qtd-8W","Завантажити сертифікат")</f>
        <v>Завантажити сертифікат</v>
      </c>
    </row>
    <row r="901" spans="1:6" x14ac:dyDescent="0.3">
      <c r="A901" s="2">
        <v>900</v>
      </c>
      <c r="B901" s="1" t="s">
        <v>1878</v>
      </c>
      <c r="C901" s="1" t="s">
        <v>1871</v>
      </c>
      <c r="D901" s="1" t="s">
        <v>1872</v>
      </c>
      <c r="E901" s="1" t="s">
        <v>1879</v>
      </c>
      <c r="F901" s="1" t="str">
        <f>HYPERLINK("https://talan.bank.gov.ua/get-user-certificate/J5325KyY3gQeswS_gnqr","Завантажити сертифікат")</f>
        <v>Завантажити сертифікат</v>
      </c>
    </row>
    <row r="902" spans="1:6" x14ac:dyDescent="0.3">
      <c r="A902" s="2">
        <v>901</v>
      </c>
      <c r="B902" s="1" t="s">
        <v>1880</v>
      </c>
      <c r="C902" s="1" t="s">
        <v>1871</v>
      </c>
      <c r="D902" s="1" t="s">
        <v>1872</v>
      </c>
      <c r="E902" s="1" t="s">
        <v>1881</v>
      </c>
      <c r="F902" s="1" t="str">
        <f>HYPERLINK("https://talan.bank.gov.ua/get-user-certificate/J53258B83sgc9qRjohgr","Завантажити сертифікат")</f>
        <v>Завантажити сертифікат</v>
      </c>
    </row>
    <row r="903" spans="1:6" x14ac:dyDescent="0.3">
      <c r="A903" s="2">
        <v>902</v>
      </c>
      <c r="B903" s="1" t="s">
        <v>1882</v>
      </c>
      <c r="C903" s="1" t="s">
        <v>1871</v>
      </c>
      <c r="D903" s="1" t="s">
        <v>1872</v>
      </c>
      <c r="E903" s="1" t="s">
        <v>1883</v>
      </c>
      <c r="F903" s="1" t="str">
        <f>HYPERLINK("https://talan.bank.gov.ua/get-user-certificate/J5325yxC1m3PUWuse2JA","Завантажити сертифікат")</f>
        <v>Завантажити сертифікат</v>
      </c>
    </row>
    <row r="904" spans="1:6" x14ac:dyDescent="0.3">
      <c r="A904" s="2">
        <v>903</v>
      </c>
      <c r="B904" s="1" t="s">
        <v>1884</v>
      </c>
      <c r="C904" s="1" t="s">
        <v>1871</v>
      </c>
      <c r="D904" s="1" t="s">
        <v>1872</v>
      </c>
      <c r="E904" s="1" t="s">
        <v>1885</v>
      </c>
      <c r="F904" s="1" t="str">
        <f>HYPERLINK("https://talan.bank.gov.ua/get-user-certificate/J5325OJIhE1yYmgdG30S","Завантажити сертифікат")</f>
        <v>Завантажити сертифікат</v>
      </c>
    </row>
    <row r="905" spans="1:6" x14ac:dyDescent="0.3">
      <c r="A905" s="2">
        <v>904</v>
      </c>
      <c r="B905" s="1" t="s">
        <v>1886</v>
      </c>
      <c r="C905" s="1" t="s">
        <v>1871</v>
      </c>
      <c r="D905" s="1" t="s">
        <v>1872</v>
      </c>
      <c r="E905" s="1" t="s">
        <v>1887</v>
      </c>
      <c r="F905" s="1" t="str">
        <f>HYPERLINK("https://talan.bank.gov.ua/get-user-certificate/J53254mniHyrBuoVorr4","Завантажити сертифікат")</f>
        <v>Завантажити сертифікат</v>
      </c>
    </row>
    <row r="906" spans="1:6" x14ac:dyDescent="0.3">
      <c r="A906" s="2">
        <v>905</v>
      </c>
      <c r="B906" s="1" t="s">
        <v>1888</v>
      </c>
      <c r="C906" s="1" t="s">
        <v>1871</v>
      </c>
      <c r="D906" s="1" t="s">
        <v>1872</v>
      </c>
      <c r="E906" s="1" t="s">
        <v>1889</v>
      </c>
      <c r="F906" s="1" t="str">
        <f>HYPERLINK("https://talan.bank.gov.ua/get-user-certificate/J5325AZX9X594HO8e4L1","Завантажити сертифікат")</f>
        <v>Завантажити сертифікат</v>
      </c>
    </row>
    <row r="907" spans="1:6" x14ac:dyDescent="0.3">
      <c r="A907" s="2">
        <v>906</v>
      </c>
      <c r="B907" s="1" t="s">
        <v>1890</v>
      </c>
      <c r="C907" s="1" t="s">
        <v>1871</v>
      </c>
      <c r="D907" s="1" t="s">
        <v>1872</v>
      </c>
      <c r="E907" s="1" t="s">
        <v>1891</v>
      </c>
      <c r="F907" s="1" t="str">
        <f>HYPERLINK("https://talan.bank.gov.ua/get-user-certificate/J5325hD8g_r-XUz7gFwm","Завантажити сертифікат")</f>
        <v>Завантажити сертифікат</v>
      </c>
    </row>
    <row r="908" spans="1:6" x14ac:dyDescent="0.3">
      <c r="A908" s="2">
        <v>907</v>
      </c>
      <c r="B908" s="1" t="s">
        <v>1892</v>
      </c>
      <c r="C908" s="1" t="s">
        <v>1871</v>
      </c>
      <c r="D908" s="1" t="s">
        <v>1872</v>
      </c>
      <c r="E908" s="1" t="s">
        <v>1893</v>
      </c>
      <c r="F908" s="1" t="str">
        <f>HYPERLINK("https://talan.bank.gov.ua/get-user-certificate/J5325oiZVAWYECfwYFTe","Завантажити сертифікат")</f>
        <v>Завантажити сертифікат</v>
      </c>
    </row>
    <row r="909" spans="1:6" x14ac:dyDescent="0.3">
      <c r="A909" s="2">
        <v>908</v>
      </c>
      <c r="B909" s="1" t="s">
        <v>1894</v>
      </c>
      <c r="C909" s="1" t="s">
        <v>1871</v>
      </c>
      <c r="D909" s="1" t="s">
        <v>1872</v>
      </c>
      <c r="E909" s="1" t="s">
        <v>1895</v>
      </c>
      <c r="F909" s="1" t="str">
        <f>HYPERLINK("https://talan.bank.gov.ua/get-user-certificate/J5325O61ZsXxZ2ye37N0","Завантажити сертифікат")</f>
        <v>Завантажити сертифікат</v>
      </c>
    </row>
    <row r="910" spans="1:6" x14ac:dyDescent="0.3">
      <c r="A910" s="2">
        <v>909</v>
      </c>
      <c r="B910" s="1" t="s">
        <v>1896</v>
      </c>
      <c r="C910" s="1" t="s">
        <v>1871</v>
      </c>
      <c r="D910" s="1" t="s">
        <v>1872</v>
      </c>
      <c r="E910" s="1" t="s">
        <v>1897</v>
      </c>
      <c r="F910" s="1" t="str">
        <f>HYPERLINK("https://talan.bank.gov.ua/get-user-certificate/J5325wPOmDId0faZ6odN","Завантажити сертифікат")</f>
        <v>Завантажити сертифікат</v>
      </c>
    </row>
    <row r="911" spans="1:6" x14ac:dyDescent="0.3">
      <c r="A911" s="2">
        <v>910</v>
      </c>
      <c r="B911" s="1" t="s">
        <v>1898</v>
      </c>
      <c r="C911" s="1" t="s">
        <v>1871</v>
      </c>
      <c r="D911" s="1" t="s">
        <v>1872</v>
      </c>
      <c r="E911" s="1" t="s">
        <v>1899</v>
      </c>
      <c r="F911" s="1" t="str">
        <f>HYPERLINK("https://talan.bank.gov.ua/get-user-certificate/J5325q2gfsGtSKUJ5cTF","Завантажити сертифікат")</f>
        <v>Завантажити сертифікат</v>
      </c>
    </row>
    <row r="912" spans="1:6" x14ac:dyDescent="0.3">
      <c r="A912" s="2">
        <v>911</v>
      </c>
      <c r="B912" s="1" t="s">
        <v>1900</v>
      </c>
      <c r="C912" s="1" t="s">
        <v>1871</v>
      </c>
      <c r="D912" s="1" t="s">
        <v>1872</v>
      </c>
      <c r="E912" s="1" t="s">
        <v>1901</v>
      </c>
      <c r="F912" s="1" t="str">
        <f>HYPERLINK("https://talan.bank.gov.ua/get-user-certificate/J5325xq_bPQVnKhfTmqQ","Завантажити сертифікат")</f>
        <v>Завантажити сертифікат</v>
      </c>
    </row>
    <row r="913" spans="1:6" x14ac:dyDescent="0.3">
      <c r="A913" s="2">
        <v>912</v>
      </c>
      <c r="B913" s="1" t="s">
        <v>1902</v>
      </c>
      <c r="C913" s="1" t="s">
        <v>1871</v>
      </c>
      <c r="D913" s="1" t="s">
        <v>1872</v>
      </c>
      <c r="E913" s="1" t="s">
        <v>1903</v>
      </c>
      <c r="F913" s="1" t="str">
        <f>HYPERLINK("https://talan.bank.gov.ua/get-user-certificate/J5325u1_YTF2C-Wby6-G","Завантажити сертифікат")</f>
        <v>Завантажити сертифікат</v>
      </c>
    </row>
    <row r="914" spans="1:6" x14ac:dyDescent="0.3">
      <c r="A914" s="2">
        <v>913</v>
      </c>
      <c r="B914" s="1" t="s">
        <v>1904</v>
      </c>
      <c r="C914" s="1" t="s">
        <v>1871</v>
      </c>
      <c r="D914" s="1" t="s">
        <v>1872</v>
      </c>
      <c r="E914" s="1" t="s">
        <v>1905</v>
      </c>
      <c r="F914" s="1" t="str">
        <f>HYPERLINK("https://talan.bank.gov.ua/get-user-certificate/J5325v_J8pslVHK3A1yZ","Завантажити сертифікат")</f>
        <v>Завантажити сертифікат</v>
      </c>
    </row>
    <row r="915" spans="1:6" x14ac:dyDescent="0.3">
      <c r="A915" s="2">
        <v>914</v>
      </c>
      <c r="B915" s="1" t="s">
        <v>1906</v>
      </c>
      <c r="C915" s="1" t="s">
        <v>1871</v>
      </c>
      <c r="D915" s="1" t="s">
        <v>1872</v>
      </c>
      <c r="E915" s="1" t="s">
        <v>1907</v>
      </c>
      <c r="F915" s="1" t="str">
        <f>HYPERLINK("https://talan.bank.gov.ua/get-user-certificate/J5325eA3CeSGuQHiWSE_","Завантажити сертифікат")</f>
        <v>Завантажити сертифікат</v>
      </c>
    </row>
    <row r="916" spans="1:6" x14ac:dyDescent="0.3">
      <c r="A916" s="2">
        <v>915</v>
      </c>
      <c r="B916" s="1" t="s">
        <v>1908</v>
      </c>
      <c r="C916" s="1" t="s">
        <v>1871</v>
      </c>
      <c r="D916" s="1" t="s">
        <v>1872</v>
      </c>
      <c r="E916" s="1" t="s">
        <v>1909</v>
      </c>
      <c r="F916" s="1" t="str">
        <f>HYPERLINK("https://talan.bank.gov.ua/get-user-certificate/J5325CIDsG5XvyZKkoio","Завантажити сертифікат")</f>
        <v>Завантажити сертифікат</v>
      </c>
    </row>
    <row r="917" spans="1:6" x14ac:dyDescent="0.3">
      <c r="A917" s="2">
        <v>916</v>
      </c>
      <c r="B917" s="1" t="s">
        <v>1910</v>
      </c>
      <c r="C917" s="1" t="s">
        <v>1871</v>
      </c>
      <c r="D917" s="1" t="s">
        <v>1872</v>
      </c>
      <c r="E917" s="1" t="s">
        <v>1911</v>
      </c>
      <c r="F917" s="1" t="str">
        <f>HYPERLINK("https://talan.bank.gov.ua/get-user-certificate/J5325Gz8T5A1Ad2r9pnj","Завантажити сертифікат")</f>
        <v>Завантажити сертифікат</v>
      </c>
    </row>
    <row r="918" spans="1:6" x14ac:dyDescent="0.3">
      <c r="A918" s="2">
        <v>917</v>
      </c>
      <c r="B918" s="1" t="s">
        <v>1912</v>
      </c>
      <c r="C918" s="1" t="s">
        <v>1871</v>
      </c>
      <c r="D918" s="1" t="s">
        <v>1872</v>
      </c>
      <c r="E918" s="1" t="s">
        <v>1913</v>
      </c>
      <c r="F918" s="1" t="str">
        <f>HYPERLINK("https://talan.bank.gov.ua/get-user-certificate/J5325dowh_MiviwpDkSq","Завантажити сертифікат")</f>
        <v>Завантажити сертифікат</v>
      </c>
    </row>
    <row r="919" spans="1:6" x14ac:dyDescent="0.3">
      <c r="A919" s="2">
        <v>918</v>
      </c>
      <c r="B919" s="1" t="s">
        <v>1914</v>
      </c>
      <c r="C919" s="1" t="s">
        <v>1871</v>
      </c>
      <c r="D919" s="1" t="s">
        <v>1872</v>
      </c>
      <c r="E919" s="1" t="s">
        <v>1915</v>
      </c>
      <c r="F919" s="1" t="str">
        <f>HYPERLINK("https://talan.bank.gov.ua/get-user-certificate/J5325oM-OLLDx7p59drR","Завантажити сертифікат")</f>
        <v>Завантажити сертифікат</v>
      </c>
    </row>
    <row r="920" spans="1:6" x14ac:dyDescent="0.3">
      <c r="A920" s="2">
        <v>919</v>
      </c>
      <c r="B920" s="1" t="s">
        <v>1916</v>
      </c>
      <c r="C920" s="1" t="s">
        <v>1871</v>
      </c>
      <c r="D920" s="1" t="s">
        <v>1872</v>
      </c>
      <c r="E920" s="1" t="s">
        <v>1917</v>
      </c>
      <c r="F920" s="1" t="str">
        <f>HYPERLINK("https://talan.bank.gov.ua/get-user-certificate/J5325HbnKaWZ5oFTjO7j","Завантажити сертифікат")</f>
        <v>Завантажити сертифікат</v>
      </c>
    </row>
    <row r="921" spans="1:6" x14ac:dyDescent="0.3">
      <c r="A921" s="2">
        <v>920</v>
      </c>
      <c r="B921" s="1" t="s">
        <v>1918</v>
      </c>
      <c r="C921" s="1" t="s">
        <v>1871</v>
      </c>
      <c r="D921" s="1" t="s">
        <v>1872</v>
      </c>
      <c r="E921" s="1" t="s">
        <v>1919</v>
      </c>
      <c r="F921" s="1" t="str">
        <f>HYPERLINK("https://talan.bank.gov.ua/get-user-certificate/J5325iKDpIMA3UUSpjWk","Завантажити сертифікат")</f>
        <v>Завантажити сертифікат</v>
      </c>
    </row>
    <row r="922" spans="1:6" x14ac:dyDescent="0.3">
      <c r="A922" s="2">
        <v>921</v>
      </c>
      <c r="B922" s="1" t="s">
        <v>1920</v>
      </c>
      <c r="C922" s="1" t="s">
        <v>1871</v>
      </c>
      <c r="D922" s="1" t="s">
        <v>1872</v>
      </c>
      <c r="E922" s="1" t="s">
        <v>1921</v>
      </c>
      <c r="F922" s="1" t="str">
        <f>HYPERLINK("https://talan.bank.gov.ua/get-user-certificate/J5325BRLFnOLqTqS8Wof","Завантажити сертифікат")</f>
        <v>Завантажити сертифікат</v>
      </c>
    </row>
    <row r="923" spans="1:6" x14ac:dyDescent="0.3">
      <c r="A923" s="2">
        <v>922</v>
      </c>
      <c r="B923" s="1" t="s">
        <v>1922</v>
      </c>
      <c r="C923" s="1" t="s">
        <v>1871</v>
      </c>
      <c r="D923" s="1" t="s">
        <v>1872</v>
      </c>
      <c r="E923" s="1" t="s">
        <v>1923</v>
      </c>
      <c r="F923" s="1" t="str">
        <f>HYPERLINK("https://talan.bank.gov.ua/get-user-certificate/J5325YLQiDGycHBhZNVy","Завантажити сертифікат")</f>
        <v>Завантажити сертифікат</v>
      </c>
    </row>
    <row r="924" spans="1:6" x14ac:dyDescent="0.3">
      <c r="A924" s="2">
        <v>923</v>
      </c>
      <c r="B924" s="1" t="s">
        <v>1924</v>
      </c>
      <c r="C924" s="1" t="s">
        <v>1871</v>
      </c>
      <c r="D924" s="1" t="s">
        <v>1872</v>
      </c>
      <c r="E924" s="1" t="s">
        <v>1925</v>
      </c>
      <c r="F924" s="1" t="str">
        <f>HYPERLINK("https://talan.bank.gov.ua/get-user-certificate/J532583pf8QkUWGguf_r","Завантажити сертифікат")</f>
        <v>Завантажити сертифікат</v>
      </c>
    </row>
    <row r="925" spans="1:6" x14ac:dyDescent="0.3">
      <c r="A925" s="2">
        <v>924</v>
      </c>
      <c r="B925" s="1" t="s">
        <v>1926</v>
      </c>
      <c r="C925" s="1" t="s">
        <v>1871</v>
      </c>
      <c r="D925" s="1" t="s">
        <v>1872</v>
      </c>
      <c r="E925" s="1" t="s">
        <v>1927</v>
      </c>
      <c r="F925" s="1" t="str">
        <f>HYPERLINK("https://talan.bank.gov.ua/get-user-certificate/J5325mf_ErB98wBc_1WR","Завантажити сертифікат")</f>
        <v>Завантажити сертифікат</v>
      </c>
    </row>
    <row r="926" spans="1:6" x14ac:dyDescent="0.3">
      <c r="A926" s="2">
        <v>925</v>
      </c>
      <c r="B926" s="1" t="s">
        <v>1928</v>
      </c>
      <c r="C926" s="1" t="s">
        <v>1871</v>
      </c>
      <c r="D926" s="1" t="s">
        <v>1872</v>
      </c>
      <c r="E926" s="1" t="s">
        <v>1929</v>
      </c>
      <c r="F926" s="1" t="str">
        <f>HYPERLINK("https://talan.bank.gov.ua/get-user-certificate/J5325vtwHZov4kf2D_gU","Завантажити сертифікат")</f>
        <v>Завантажити сертифікат</v>
      </c>
    </row>
    <row r="927" spans="1:6" x14ac:dyDescent="0.3">
      <c r="A927" s="2">
        <v>926</v>
      </c>
      <c r="B927" s="1" t="s">
        <v>1930</v>
      </c>
      <c r="C927" s="1" t="s">
        <v>1871</v>
      </c>
      <c r="D927" s="1" t="s">
        <v>1872</v>
      </c>
      <c r="E927" s="1" t="s">
        <v>1931</v>
      </c>
      <c r="F927" s="1" t="str">
        <f>HYPERLINK("https://talan.bank.gov.ua/get-user-certificate/J5325Gw228pVK_4SZsJI","Завантажити сертифікат")</f>
        <v>Завантажити сертифікат</v>
      </c>
    </row>
    <row r="928" spans="1:6" x14ac:dyDescent="0.3">
      <c r="A928" s="2">
        <v>927</v>
      </c>
      <c r="B928" s="1" t="s">
        <v>1932</v>
      </c>
      <c r="C928" s="1" t="s">
        <v>1871</v>
      </c>
      <c r="D928" s="1" t="s">
        <v>1872</v>
      </c>
      <c r="E928" s="1" t="s">
        <v>1933</v>
      </c>
      <c r="F928" s="1" t="str">
        <f>HYPERLINK("https://talan.bank.gov.ua/get-user-certificate/J5325hrUJeCPfv-26r2N","Завантажити сертифікат")</f>
        <v>Завантажити сертифікат</v>
      </c>
    </row>
    <row r="929" spans="1:6" ht="28.8" x14ac:dyDescent="0.3">
      <c r="A929" s="2">
        <v>928</v>
      </c>
      <c r="B929" s="1" t="s">
        <v>1934</v>
      </c>
      <c r="C929" s="1" t="s">
        <v>1871</v>
      </c>
      <c r="D929" s="1" t="s">
        <v>1872</v>
      </c>
      <c r="E929" s="1" t="s">
        <v>1935</v>
      </c>
      <c r="F929" s="1" t="str">
        <f>HYPERLINK("https://talan.bank.gov.ua/get-user-certificate/J5325VjVZwq3qMLvirfw","Завантажити сертифікат")</f>
        <v>Завантажити сертифікат</v>
      </c>
    </row>
    <row r="930" spans="1:6" x14ac:dyDescent="0.3">
      <c r="A930" s="2">
        <v>929</v>
      </c>
      <c r="B930" s="1" t="s">
        <v>1936</v>
      </c>
      <c r="C930" s="1" t="s">
        <v>1871</v>
      </c>
      <c r="D930" s="1" t="s">
        <v>1872</v>
      </c>
      <c r="E930" s="1" t="s">
        <v>1937</v>
      </c>
      <c r="F930" s="1" t="str">
        <f>HYPERLINK("https://talan.bank.gov.ua/get-user-certificate/J5325-E6abRyCbCqmfFZ","Завантажити сертифікат")</f>
        <v>Завантажити сертифікат</v>
      </c>
    </row>
    <row r="931" spans="1:6" x14ac:dyDescent="0.3">
      <c r="A931" s="2">
        <v>930</v>
      </c>
      <c r="B931" s="1" t="s">
        <v>1938</v>
      </c>
      <c r="C931" s="1" t="s">
        <v>1871</v>
      </c>
      <c r="D931" s="1" t="s">
        <v>1872</v>
      </c>
      <c r="E931" s="1" t="s">
        <v>1939</v>
      </c>
      <c r="F931" s="1" t="str">
        <f>HYPERLINK("https://talan.bank.gov.ua/get-user-certificate/J5325VMJYlmmKcS3Lm6V","Завантажити сертифікат")</f>
        <v>Завантажити сертифікат</v>
      </c>
    </row>
    <row r="932" spans="1:6" x14ac:dyDescent="0.3">
      <c r="A932" s="2">
        <v>931</v>
      </c>
      <c r="B932" s="1" t="s">
        <v>1940</v>
      </c>
      <c r="C932" s="1" t="s">
        <v>1871</v>
      </c>
      <c r="D932" s="1" t="s">
        <v>1872</v>
      </c>
      <c r="E932" s="1" t="s">
        <v>1941</v>
      </c>
      <c r="F932" s="1" t="str">
        <f>HYPERLINK("https://talan.bank.gov.ua/get-user-certificate/J5325hFG2WwvwPR9GWF0","Завантажити сертифікат")</f>
        <v>Завантажити сертифікат</v>
      </c>
    </row>
    <row r="933" spans="1:6" ht="43.2" x14ac:dyDescent="0.3">
      <c r="A933" s="2">
        <v>932</v>
      </c>
      <c r="B933" s="1" t="s">
        <v>1942</v>
      </c>
      <c r="C933" s="1" t="s">
        <v>1943</v>
      </c>
      <c r="D933" s="1" t="s">
        <v>1944</v>
      </c>
      <c r="E933" s="1" t="s">
        <v>1945</v>
      </c>
      <c r="F933" s="1" t="str">
        <f>HYPERLINK("https://talan.bank.gov.ua/get-user-certificate/J532598xQanwpG-p0g6_","Завантажити сертифікат")</f>
        <v>Завантажити сертифікат</v>
      </c>
    </row>
    <row r="934" spans="1:6" ht="43.2" x14ac:dyDescent="0.3">
      <c r="A934" s="2">
        <v>933</v>
      </c>
      <c r="B934" s="1" t="s">
        <v>1946</v>
      </c>
      <c r="C934" s="1" t="s">
        <v>1943</v>
      </c>
      <c r="D934" s="1" t="s">
        <v>1944</v>
      </c>
      <c r="E934" s="1" t="s">
        <v>1947</v>
      </c>
      <c r="F934" s="1" t="str">
        <f>HYPERLINK("https://talan.bank.gov.ua/get-user-certificate/J5325tS36ApSldQwEcGO","Завантажити сертифікат")</f>
        <v>Завантажити сертифікат</v>
      </c>
    </row>
    <row r="935" spans="1:6" ht="43.2" x14ac:dyDescent="0.3">
      <c r="A935" s="2">
        <v>934</v>
      </c>
      <c r="B935" s="1" t="s">
        <v>1948</v>
      </c>
      <c r="C935" s="1" t="s">
        <v>1943</v>
      </c>
      <c r="D935" s="1" t="s">
        <v>1944</v>
      </c>
      <c r="E935" s="1" t="s">
        <v>1949</v>
      </c>
      <c r="F935" s="1" t="str">
        <f>HYPERLINK("https://talan.bank.gov.ua/get-user-certificate/J5325idWY2SzCks8UCvy","Завантажити сертифікат")</f>
        <v>Завантажити сертифікат</v>
      </c>
    </row>
    <row r="936" spans="1:6" ht="43.2" x14ac:dyDescent="0.3">
      <c r="A936" s="2">
        <v>935</v>
      </c>
      <c r="B936" s="1" t="s">
        <v>1950</v>
      </c>
      <c r="C936" s="1" t="s">
        <v>1943</v>
      </c>
      <c r="D936" s="1" t="s">
        <v>1944</v>
      </c>
      <c r="E936" s="1" t="s">
        <v>1951</v>
      </c>
      <c r="F936" s="1" t="str">
        <f>HYPERLINK("https://talan.bank.gov.ua/get-user-certificate/J5325w4P1PcZ7hBpRlqS","Завантажити сертифікат")</f>
        <v>Завантажити сертифікат</v>
      </c>
    </row>
    <row r="937" spans="1:6" ht="43.2" x14ac:dyDescent="0.3">
      <c r="A937" s="2">
        <v>936</v>
      </c>
      <c r="B937" s="1" t="s">
        <v>1952</v>
      </c>
      <c r="C937" s="1" t="s">
        <v>1943</v>
      </c>
      <c r="D937" s="1" t="s">
        <v>1944</v>
      </c>
      <c r="E937" s="1" t="s">
        <v>1953</v>
      </c>
      <c r="F937" s="1" t="str">
        <f>HYPERLINK("https://talan.bank.gov.ua/get-user-certificate/J53252e4F_V-30c5_xSo","Завантажити сертифікат")</f>
        <v>Завантажити сертифікат</v>
      </c>
    </row>
    <row r="938" spans="1:6" ht="43.2" x14ac:dyDescent="0.3">
      <c r="A938" s="2">
        <v>937</v>
      </c>
      <c r="B938" s="1" t="s">
        <v>1954</v>
      </c>
      <c r="C938" s="1" t="s">
        <v>1943</v>
      </c>
      <c r="D938" s="1" t="s">
        <v>1944</v>
      </c>
      <c r="E938" s="1" t="s">
        <v>1955</v>
      </c>
      <c r="F938" s="1" t="str">
        <f>HYPERLINK("https://talan.bank.gov.ua/get-user-certificate/J5325mnvofGJ7Vejt-RV","Завантажити сертифікат")</f>
        <v>Завантажити сертифікат</v>
      </c>
    </row>
    <row r="939" spans="1:6" ht="43.2" x14ac:dyDescent="0.3">
      <c r="A939" s="2">
        <v>938</v>
      </c>
      <c r="B939" s="1" t="s">
        <v>1956</v>
      </c>
      <c r="C939" s="1" t="s">
        <v>1943</v>
      </c>
      <c r="D939" s="1" t="s">
        <v>1944</v>
      </c>
      <c r="E939" s="1" t="s">
        <v>1957</v>
      </c>
      <c r="F939" s="1" t="str">
        <f>HYPERLINK("https://talan.bank.gov.ua/get-user-certificate/J5325nWemhkPOK2aF6oK","Завантажити сертифікат")</f>
        <v>Завантажити сертифікат</v>
      </c>
    </row>
    <row r="940" spans="1:6" ht="43.2" x14ac:dyDescent="0.3">
      <c r="A940" s="2">
        <v>939</v>
      </c>
      <c r="B940" s="1" t="s">
        <v>1958</v>
      </c>
      <c r="C940" s="1" t="s">
        <v>1943</v>
      </c>
      <c r="D940" s="1" t="s">
        <v>1944</v>
      </c>
      <c r="E940" s="1" t="s">
        <v>1959</v>
      </c>
      <c r="F940" s="1" t="str">
        <f>HYPERLINK("https://talan.bank.gov.ua/get-user-certificate/J5325ton660RBsgNChy-","Завантажити сертифікат")</f>
        <v>Завантажити сертифікат</v>
      </c>
    </row>
    <row r="941" spans="1:6" ht="43.2" x14ac:dyDescent="0.3">
      <c r="A941" s="2">
        <v>940</v>
      </c>
      <c r="B941" s="1" t="s">
        <v>1960</v>
      </c>
      <c r="C941" s="1" t="s">
        <v>1943</v>
      </c>
      <c r="D941" s="1" t="s">
        <v>1944</v>
      </c>
      <c r="E941" s="1" t="s">
        <v>1961</v>
      </c>
      <c r="F941" s="1" t="str">
        <f>HYPERLINK("https://talan.bank.gov.ua/get-user-certificate/J5325_v1P92ryBb-8AFv","Завантажити сертифікат")</f>
        <v>Завантажити сертифікат</v>
      </c>
    </row>
    <row r="942" spans="1:6" ht="43.2" x14ac:dyDescent="0.3">
      <c r="A942" s="2">
        <v>941</v>
      </c>
      <c r="B942" s="1" t="s">
        <v>1962</v>
      </c>
      <c r="C942" s="1" t="s">
        <v>1943</v>
      </c>
      <c r="D942" s="1" t="s">
        <v>1944</v>
      </c>
      <c r="E942" s="1" t="s">
        <v>1963</v>
      </c>
      <c r="F942" s="1" t="str">
        <f>HYPERLINK("https://talan.bank.gov.ua/get-user-certificate/J5325DkW64__fLSg6j6R","Завантажити сертифікат")</f>
        <v>Завантажити сертифікат</v>
      </c>
    </row>
    <row r="943" spans="1:6" ht="43.2" x14ac:dyDescent="0.3">
      <c r="A943" s="2">
        <v>942</v>
      </c>
      <c r="B943" s="1" t="s">
        <v>1964</v>
      </c>
      <c r="C943" s="1" t="s">
        <v>1943</v>
      </c>
      <c r="D943" s="1" t="s">
        <v>1944</v>
      </c>
      <c r="E943" s="1" t="s">
        <v>1965</v>
      </c>
      <c r="F943" s="1" t="str">
        <f>HYPERLINK("https://talan.bank.gov.ua/get-user-certificate/J5325dlLpFtB5htva93O","Завантажити сертифікат")</f>
        <v>Завантажити сертифікат</v>
      </c>
    </row>
    <row r="944" spans="1:6" ht="43.2" x14ac:dyDescent="0.3">
      <c r="A944" s="2">
        <v>943</v>
      </c>
      <c r="B944" s="1" t="s">
        <v>1966</v>
      </c>
      <c r="C944" s="1" t="s">
        <v>1943</v>
      </c>
      <c r="D944" s="1" t="s">
        <v>1944</v>
      </c>
      <c r="E944" s="1" t="s">
        <v>1967</v>
      </c>
      <c r="F944" s="1" t="str">
        <f>HYPERLINK("https://talan.bank.gov.ua/get-user-certificate/J5325-PzS4UWP2w0NIEd","Завантажити сертифікат")</f>
        <v>Завантажити сертифікат</v>
      </c>
    </row>
    <row r="945" spans="1:6" ht="43.2" x14ac:dyDescent="0.3">
      <c r="A945" s="2">
        <v>944</v>
      </c>
      <c r="B945" s="1" t="s">
        <v>1968</v>
      </c>
      <c r="C945" s="1" t="s">
        <v>1943</v>
      </c>
      <c r="D945" s="1" t="s">
        <v>1944</v>
      </c>
      <c r="E945" s="1" t="s">
        <v>1969</v>
      </c>
      <c r="F945" s="1" t="str">
        <f>HYPERLINK("https://talan.bank.gov.ua/get-user-certificate/J5325XWwP2aWBn4nYch3","Завантажити сертифікат")</f>
        <v>Завантажити сертифікат</v>
      </c>
    </row>
    <row r="946" spans="1:6" ht="43.2" x14ac:dyDescent="0.3">
      <c r="A946" s="2">
        <v>945</v>
      </c>
      <c r="B946" s="1" t="s">
        <v>1970</v>
      </c>
      <c r="C946" s="1" t="s">
        <v>1971</v>
      </c>
      <c r="D946" s="1" t="s">
        <v>1972</v>
      </c>
      <c r="E946" s="1" t="s">
        <v>1973</v>
      </c>
      <c r="F946" s="1" t="str">
        <f>HYPERLINK("https://talan.bank.gov.ua/get-user-certificate/J53254neiFuKhCNbqiJY","Завантажити сертифікат")</f>
        <v>Завантажити сертифікат</v>
      </c>
    </row>
    <row r="947" spans="1:6" ht="43.2" x14ac:dyDescent="0.3">
      <c r="A947" s="2">
        <v>946</v>
      </c>
      <c r="B947" s="1" t="s">
        <v>1974</v>
      </c>
      <c r="C947" s="1" t="s">
        <v>1971</v>
      </c>
      <c r="D947" s="1" t="s">
        <v>1972</v>
      </c>
      <c r="E947" s="1" t="s">
        <v>1975</v>
      </c>
      <c r="F947" s="1" t="str">
        <f>HYPERLINK("https://talan.bank.gov.ua/get-user-certificate/J5325YX3EjzSB1G8vHh8","Завантажити сертифікат")</f>
        <v>Завантажити сертифікат</v>
      </c>
    </row>
    <row r="948" spans="1:6" ht="43.2" x14ac:dyDescent="0.3">
      <c r="A948" s="2">
        <v>947</v>
      </c>
      <c r="B948" s="1" t="s">
        <v>1976</v>
      </c>
      <c r="C948" s="1" t="s">
        <v>1971</v>
      </c>
      <c r="D948" s="1" t="s">
        <v>1972</v>
      </c>
      <c r="E948" s="1" t="s">
        <v>1977</v>
      </c>
      <c r="F948" s="1" t="str">
        <f>HYPERLINK("https://talan.bank.gov.ua/get-user-certificate/J5325Wgv_kzpwjtDkXh9","Завантажити сертифікат")</f>
        <v>Завантажити сертифікат</v>
      </c>
    </row>
    <row r="949" spans="1:6" ht="43.2" x14ac:dyDescent="0.3">
      <c r="A949" s="2">
        <v>948</v>
      </c>
      <c r="B949" s="1" t="s">
        <v>1978</v>
      </c>
      <c r="C949" s="1" t="s">
        <v>1971</v>
      </c>
      <c r="D949" s="1" t="s">
        <v>1972</v>
      </c>
      <c r="E949" s="1" t="s">
        <v>1979</v>
      </c>
      <c r="F949" s="1" t="str">
        <f>HYPERLINK("https://talan.bank.gov.ua/get-user-certificate/J5325L06Dcphf0FvC0Vm","Завантажити сертифікат")</f>
        <v>Завантажити сертифікат</v>
      </c>
    </row>
    <row r="950" spans="1:6" ht="43.2" x14ac:dyDescent="0.3">
      <c r="A950" s="2">
        <v>949</v>
      </c>
      <c r="B950" s="1" t="s">
        <v>1980</v>
      </c>
      <c r="C950" s="1" t="s">
        <v>1971</v>
      </c>
      <c r="D950" s="1" t="s">
        <v>1972</v>
      </c>
      <c r="E950" s="1" t="s">
        <v>1981</v>
      </c>
      <c r="F950" s="1" t="str">
        <f>HYPERLINK("https://talan.bank.gov.ua/get-user-certificate/J53250tf1JEgmQCv8_EI","Завантажити сертифікат")</f>
        <v>Завантажити сертифікат</v>
      </c>
    </row>
    <row r="951" spans="1:6" x14ac:dyDescent="0.3">
      <c r="A951" s="2">
        <v>950</v>
      </c>
      <c r="B951" s="1" t="s">
        <v>1982</v>
      </c>
      <c r="C951" s="1" t="s">
        <v>1983</v>
      </c>
      <c r="D951" s="1" t="s">
        <v>1984</v>
      </c>
      <c r="E951" s="1" t="s">
        <v>1985</v>
      </c>
      <c r="F951" s="1" t="str">
        <f>HYPERLINK("https://talan.bank.gov.ua/get-user-certificate/J5325f4btmbIrbOrX_V2","Завантажити сертифікат")</f>
        <v>Завантажити сертифікат</v>
      </c>
    </row>
    <row r="952" spans="1:6" x14ac:dyDescent="0.3">
      <c r="A952" s="2">
        <v>951</v>
      </c>
      <c r="B952" s="1" t="s">
        <v>1986</v>
      </c>
      <c r="C952" s="1" t="s">
        <v>1983</v>
      </c>
      <c r="D952" s="1" t="s">
        <v>1984</v>
      </c>
      <c r="E952" s="1" t="s">
        <v>1987</v>
      </c>
      <c r="F952" s="1" t="str">
        <f>HYPERLINK("https://talan.bank.gov.ua/get-user-certificate/J5325fwjkpqq4NH4tNC5","Завантажити сертифікат")</f>
        <v>Завантажити сертифікат</v>
      </c>
    </row>
    <row r="953" spans="1:6" x14ac:dyDescent="0.3">
      <c r="A953" s="2">
        <v>952</v>
      </c>
      <c r="B953" s="1" t="s">
        <v>1988</v>
      </c>
      <c r="C953" s="1" t="s">
        <v>1983</v>
      </c>
      <c r="D953" s="1" t="s">
        <v>1984</v>
      </c>
      <c r="E953" s="1" t="s">
        <v>1989</v>
      </c>
      <c r="F953" s="1" t="str">
        <f>HYPERLINK("https://talan.bank.gov.ua/get-user-certificate/J5325m2gKPAHrnA2YMCl","Завантажити сертифікат")</f>
        <v>Завантажити сертифікат</v>
      </c>
    </row>
    <row r="954" spans="1:6" x14ac:dyDescent="0.3">
      <c r="A954" s="2">
        <v>953</v>
      </c>
      <c r="B954" s="1" t="s">
        <v>1990</v>
      </c>
      <c r="C954" s="1" t="s">
        <v>1983</v>
      </c>
      <c r="D954" s="1" t="s">
        <v>1984</v>
      </c>
      <c r="E954" s="1" t="s">
        <v>1991</v>
      </c>
      <c r="F954" s="1" t="str">
        <f>HYPERLINK("https://talan.bank.gov.ua/get-user-certificate/J5325XYwn_Rsg5uESV87","Завантажити сертифікат")</f>
        <v>Завантажити сертифікат</v>
      </c>
    </row>
    <row r="955" spans="1:6" x14ac:dyDescent="0.3">
      <c r="A955" s="2">
        <v>954</v>
      </c>
      <c r="B955" s="1" t="s">
        <v>1992</v>
      </c>
      <c r="C955" s="1" t="s">
        <v>1983</v>
      </c>
      <c r="D955" s="1" t="s">
        <v>1984</v>
      </c>
      <c r="E955" s="1" t="s">
        <v>1993</v>
      </c>
      <c r="F955" s="1" t="str">
        <f>HYPERLINK("https://talan.bank.gov.ua/get-user-certificate/J532500dgMYuDxnG1JVb","Завантажити сертифікат")</f>
        <v>Завантажити сертифікат</v>
      </c>
    </row>
    <row r="956" spans="1:6" x14ac:dyDescent="0.3">
      <c r="A956" s="2">
        <v>955</v>
      </c>
      <c r="B956" s="1" t="s">
        <v>1994</v>
      </c>
      <c r="C956" s="1" t="s">
        <v>1983</v>
      </c>
      <c r="D956" s="1" t="s">
        <v>1984</v>
      </c>
      <c r="E956" s="1" t="s">
        <v>1995</v>
      </c>
      <c r="F956" s="1" t="str">
        <f>HYPERLINK("https://talan.bank.gov.ua/get-user-certificate/J5325-wsteA5ZboZ4X8J","Завантажити сертифікат")</f>
        <v>Завантажити сертифікат</v>
      </c>
    </row>
    <row r="957" spans="1:6" x14ac:dyDescent="0.3">
      <c r="A957" s="2">
        <v>956</v>
      </c>
      <c r="B957" s="1" t="s">
        <v>1996</v>
      </c>
      <c r="C957" s="1" t="s">
        <v>1983</v>
      </c>
      <c r="D957" s="1" t="s">
        <v>1984</v>
      </c>
      <c r="E957" s="1" t="s">
        <v>1997</v>
      </c>
      <c r="F957" s="1" t="str">
        <f>HYPERLINK("https://talan.bank.gov.ua/get-user-certificate/J5325F9chjk121galWPt","Завантажити сертифікат")</f>
        <v>Завантажити сертифікат</v>
      </c>
    </row>
    <row r="958" spans="1:6" x14ac:dyDescent="0.3">
      <c r="A958" s="2">
        <v>957</v>
      </c>
      <c r="B958" s="1" t="s">
        <v>1998</v>
      </c>
      <c r="C958" s="1" t="s">
        <v>1983</v>
      </c>
      <c r="D958" s="1" t="s">
        <v>1984</v>
      </c>
      <c r="E958" s="1" t="s">
        <v>1999</v>
      </c>
      <c r="F958" s="1" t="str">
        <f>HYPERLINK("https://talan.bank.gov.ua/get-user-certificate/J5325nNCLJVfLhaMqVuD","Завантажити сертифікат")</f>
        <v>Завантажити сертифікат</v>
      </c>
    </row>
    <row r="959" spans="1:6" x14ac:dyDescent="0.3">
      <c r="A959" s="2">
        <v>958</v>
      </c>
      <c r="B959" s="1" t="s">
        <v>2000</v>
      </c>
      <c r="C959" s="1" t="s">
        <v>1983</v>
      </c>
      <c r="D959" s="1" t="s">
        <v>1984</v>
      </c>
      <c r="E959" s="1" t="s">
        <v>2001</v>
      </c>
      <c r="F959" s="1" t="str">
        <f>HYPERLINK("https://talan.bank.gov.ua/get-user-certificate/J5325S-mBWXLrv3DRN0F","Завантажити сертифікат")</f>
        <v>Завантажити сертифікат</v>
      </c>
    </row>
    <row r="960" spans="1:6" x14ac:dyDescent="0.3">
      <c r="A960" s="2">
        <v>959</v>
      </c>
      <c r="B960" s="1" t="s">
        <v>2002</v>
      </c>
      <c r="C960" s="1" t="s">
        <v>1983</v>
      </c>
      <c r="D960" s="1" t="s">
        <v>1984</v>
      </c>
      <c r="E960" s="1" t="s">
        <v>2003</v>
      </c>
      <c r="F960" s="1" t="str">
        <f>HYPERLINK("https://talan.bank.gov.ua/get-user-certificate/J5325EqGNuGfJVs4tY6Q","Завантажити сертифікат")</f>
        <v>Завантажити сертифікат</v>
      </c>
    </row>
    <row r="961" spans="1:6" x14ac:dyDescent="0.3">
      <c r="A961" s="2">
        <v>960</v>
      </c>
      <c r="B961" s="1" t="s">
        <v>2004</v>
      </c>
      <c r="C961" s="1" t="s">
        <v>1983</v>
      </c>
      <c r="D961" s="1" t="s">
        <v>1984</v>
      </c>
      <c r="E961" s="1" t="s">
        <v>2005</v>
      </c>
      <c r="F961" s="1" t="str">
        <f>HYPERLINK("https://talan.bank.gov.ua/get-user-certificate/J5325ybIz8WCuIPNyRTH","Завантажити сертифікат")</f>
        <v>Завантажити сертифікат</v>
      </c>
    </row>
    <row r="962" spans="1:6" x14ac:dyDescent="0.3">
      <c r="A962" s="2">
        <v>961</v>
      </c>
      <c r="B962" s="1" t="s">
        <v>2006</v>
      </c>
      <c r="C962" s="1" t="s">
        <v>1983</v>
      </c>
      <c r="D962" s="1" t="s">
        <v>1984</v>
      </c>
      <c r="E962" s="1" t="s">
        <v>2007</v>
      </c>
      <c r="F962" s="1" t="str">
        <f>HYPERLINK("https://talan.bank.gov.ua/get-user-certificate/J5325_4Xw3JCseVYHc41","Завантажити сертифікат")</f>
        <v>Завантажити сертифікат</v>
      </c>
    </row>
    <row r="963" spans="1:6" x14ac:dyDescent="0.3">
      <c r="A963" s="2">
        <v>962</v>
      </c>
      <c r="B963" s="1" t="s">
        <v>2008</v>
      </c>
      <c r="C963" s="1" t="s">
        <v>1983</v>
      </c>
      <c r="D963" s="1" t="s">
        <v>1984</v>
      </c>
      <c r="E963" s="1" t="s">
        <v>2009</v>
      </c>
      <c r="F963" s="1" t="str">
        <f>HYPERLINK("https://talan.bank.gov.ua/get-user-certificate/J5325ftUKfiWOehQO_4C","Завантажити сертифікат")</f>
        <v>Завантажити сертифікат</v>
      </c>
    </row>
    <row r="964" spans="1:6" x14ac:dyDescent="0.3">
      <c r="A964" s="2">
        <v>963</v>
      </c>
      <c r="B964" s="1" t="s">
        <v>2010</v>
      </c>
      <c r="C964" s="1" t="s">
        <v>1983</v>
      </c>
      <c r="D964" s="1" t="s">
        <v>1984</v>
      </c>
      <c r="E964" s="1" t="s">
        <v>2011</v>
      </c>
      <c r="F964" s="1" t="str">
        <f>HYPERLINK("https://talan.bank.gov.ua/get-user-certificate/J5325IkJCQ0xWGOnM-m_","Завантажити сертифікат")</f>
        <v>Завантажити сертифікат</v>
      </c>
    </row>
    <row r="965" spans="1:6" x14ac:dyDescent="0.3">
      <c r="A965" s="2">
        <v>964</v>
      </c>
      <c r="B965" s="1" t="s">
        <v>2012</v>
      </c>
      <c r="C965" s="1" t="s">
        <v>1983</v>
      </c>
      <c r="D965" s="1" t="s">
        <v>1984</v>
      </c>
      <c r="E965" s="1" t="s">
        <v>2013</v>
      </c>
      <c r="F965" s="1" t="str">
        <f>HYPERLINK("https://talan.bank.gov.ua/get-user-certificate/J5325ffKWatYebv6rwEj","Завантажити сертифікат")</f>
        <v>Завантажити сертифікат</v>
      </c>
    </row>
    <row r="966" spans="1:6" x14ac:dyDescent="0.3">
      <c r="A966" s="2">
        <v>965</v>
      </c>
      <c r="B966" s="1" t="s">
        <v>2014</v>
      </c>
      <c r="C966" s="1" t="s">
        <v>1983</v>
      </c>
      <c r="D966" s="1" t="s">
        <v>1984</v>
      </c>
      <c r="E966" s="1" t="s">
        <v>2015</v>
      </c>
      <c r="F966" s="1" t="str">
        <f>HYPERLINK("https://talan.bank.gov.ua/get-user-certificate/J5325FVjWrtfqDuGWuxU","Завантажити сертифікат")</f>
        <v>Завантажити сертифікат</v>
      </c>
    </row>
    <row r="967" spans="1:6" x14ac:dyDescent="0.3">
      <c r="A967" s="2">
        <v>966</v>
      </c>
      <c r="B967" s="1" t="s">
        <v>2016</v>
      </c>
      <c r="C967" s="1" t="s">
        <v>1983</v>
      </c>
      <c r="D967" s="1" t="s">
        <v>1984</v>
      </c>
      <c r="E967" s="1" t="s">
        <v>2017</v>
      </c>
      <c r="F967" s="1" t="str">
        <f>HYPERLINK("https://talan.bank.gov.ua/get-user-certificate/J5325YK3VXY_xmZkPh1Y","Завантажити сертифікат")</f>
        <v>Завантажити сертифікат</v>
      </c>
    </row>
    <row r="968" spans="1:6" x14ac:dyDescent="0.3">
      <c r="A968" s="2">
        <v>967</v>
      </c>
      <c r="B968" s="1" t="s">
        <v>2018</v>
      </c>
      <c r="C968" s="1" t="s">
        <v>1983</v>
      </c>
      <c r="D968" s="1" t="s">
        <v>1984</v>
      </c>
      <c r="E968" s="1" t="s">
        <v>2019</v>
      </c>
      <c r="F968" s="1" t="str">
        <f>HYPERLINK("https://talan.bank.gov.ua/get-user-certificate/J5325CYoibAesy_hgwoZ","Завантажити сертифікат")</f>
        <v>Завантажити сертифікат</v>
      </c>
    </row>
    <row r="969" spans="1:6" x14ac:dyDescent="0.3">
      <c r="A969" s="2">
        <v>968</v>
      </c>
      <c r="B969" s="1" t="s">
        <v>2020</v>
      </c>
      <c r="C969" s="1" t="s">
        <v>1983</v>
      </c>
      <c r="D969" s="1" t="s">
        <v>1984</v>
      </c>
      <c r="E969" s="1" t="s">
        <v>2021</v>
      </c>
      <c r="F969" s="1" t="str">
        <f>HYPERLINK("https://talan.bank.gov.ua/get-user-certificate/J5325x8Nk9bGWGpniwzd","Завантажити сертифікат")</f>
        <v>Завантажити сертифікат</v>
      </c>
    </row>
    <row r="970" spans="1:6" x14ac:dyDescent="0.3">
      <c r="A970" s="2">
        <v>969</v>
      </c>
      <c r="B970" s="1" t="s">
        <v>2022</v>
      </c>
      <c r="C970" s="1" t="s">
        <v>2023</v>
      </c>
      <c r="D970" s="1" t="s">
        <v>2024</v>
      </c>
      <c r="E970" s="1" t="s">
        <v>2025</v>
      </c>
      <c r="F970" s="1" t="str">
        <f>HYPERLINK("https://talan.bank.gov.ua/get-user-certificate/J5325DmzktVLPM-3YcVi","Завантажити сертифікат")</f>
        <v>Завантажити сертифікат</v>
      </c>
    </row>
    <row r="971" spans="1:6" x14ac:dyDescent="0.3">
      <c r="A971" s="2">
        <v>970</v>
      </c>
      <c r="B971" s="1" t="s">
        <v>2026</v>
      </c>
      <c r="C971" s="1" t="s">
        <v>2023</v>
      </c>
      <c r="D971" s="1" t="s">
        <v>2024</v>
      </c>
      <c r="E971" s="1" t="s">
        <v>2027</v>
      </c>
      <c r="F971" s="1" t="str">
        <f>HYPERLINK("https://talan.bank.gov.ua/get-user-certificate/J5325-LuzjxDJPtOHhU_","Завантажити сертифікат")</f>
        <v>Завантажити сертифікат</v>
      </c>
    </row>
    <row r="972" spans="1:6" x14ac:dyDescent="0.3">
      <c r="A972" s="2">
        <v>971</v>
      </c>
      <c r="B972" s="1" t="s">
        <v>2028</v>
      </c>
      <c r="C972" s="1" t="s">
        <v>2023</v>
      </c>
      <c r="D972" s="1" t="s">
        <v>2024</v>
      </c>
      <c r="E972" s="1" t="s">
        <v>2029</v>
      </c>
      <c r="F972" s="1" t="str">
        <f>HYPERLINK("https://talan.bank.gov.ua/get-user-certificate/J5325PYU6peeRzXEWOsu","Завантажити сертифікат")</f>
        <v>Завантажити сертифікат</v>
      </c>
    </row>
    <row r="973" spans="1:6" x14ac:dyDescent="0.3">
      <c r="A973" s="2">
        <v>972</v>
      </c>
      <c r="B973" s="1" t="s">
        <v>2030</v>
      </c>
      <c r="C973" s="1" t="s">
        <v>2023</v>
      </c>
      <c r="D973" s="1" t="s">
        <v>2024</v>
      </c>
      <c r="E973" s="1" t="s">
        <v>2031</v>
      </c>
      <c r="F973" s="1" t="str">
        <f>HYPERLINK("https://talan.bank.gov.ua/get-user-certificate/J5325Wo_Z-LpJCAqkIKF","Завантажити сертифікат")</f>
        <v>Завантажити сертифікат</v>
      </c>
    </row>
    <row r="974" spans="1:6" x14ac:dyDescent="0.3">
      <c r="A974" s="2">
        <v>973</v>
      </c>
      <c r="B974" s="1" t="s">
        <v>2032</v>
      </c>
      <c r="C974" s="1" t="s">
        <v>2023</v>
      </c>
      <c r="D974" s="1" t="s">
        <v>2024</v>
      </c>
      <c r="E974" s="1" t="s">
        <v>2033</v>
      </c>
      <c r="F974" s="1" t="str">
        <f>HYPERLINK("https://talan.bank.gov.ua/get-user-certificate/J53251YvJn4Z545bufym","Завантажити сертифікат")</f>
        <v>Завантажити сертифікат</v>
      </c>
    </row>
    <row r="975" spans="1:6" x14ac:dyDescent="0.3">
      <c r="A975" s="2">
        <v>974</v>
      </c>
      <c r="B975" s="1" t="s">
        <v>2034</v>
      </c>
      <c r="C975" s="1" t="s">
        <v>2023</v>
      </c>
      <c r="D975" s="1" t="s">
        <v>2024</v>
      </c>
      <c r="E975" s="1" t="s">
        <v>2035</v>
      </c>
      <c r="F975" s="1" t="str">
        <f>HYPERLINK("https://talan.bank.gov.ua/get-user-certificate/J53256_5-BnB_401C5Ev","Завантажити сертифікат")</f>
        <v>Завантажити сертифікат</v>
      </c>
    </row>
    <row r="976" spans="1:6" x14ac:dyDescent="0.3">
      <c r="A976" s="2">
        <v>975</v>
      </c>
      <c r="B976" s="1" t="s">
        <v>2036</v>
      </c>
      <c r="C976" s="1" t="s">
        <v>2023</v>
      </c>
      <c r="D976" s="1" t="s">
        <v>2024</v>
      </c>
      <c r="E976" s="1" t="s">
        <v>2037</v>
      </c>
      <c r="F976" s="1" t="str">
        <f>HYPERLINK("https://talan.bank.gov.ua/get-user-certificate/J5325XtWrN-4eyMSIB9I","Завантажити сертифікат")</f>
        <v>Завантажити сертифікат</v>
      </c>
    </row>
    <row r="977" spans="1:6" x14ac:dyDescent="0.3">
      <c r="A977" s="2">
        <v>976</v>
      </c>
      <c r="B977" s="1" t="s">
        <v>2038</v>
      </c>
      <c r="C977" s="1" t="s">
        <v>2023</v>
      </c>
      <c r="D977" s="1" t="s">
        <v>2024</v>
      </c>
      <c r="E977" s="1" t="s">
        <v>2039</v>
      </c>
      <c r="F977" s="1" t="str">
        <f>HYPERLINK("https://talan.bank.gov.ua/get-user-certificate/J53255ueWEboF9iXhPyi","Завантажити сертифікат")</f>
        <v>Завантажити сертифікат</v>
      </c>
    </row>
    <row r="978" spans="1:6" x14ac:dyDescent="0.3">
      <c r="A978" s="2">
        <v>977</v>
      </c>
      <c r="B978" s="1" t="s">
        <v>2040</v>
      </c>
      <c r="C978" s="1" t="s">
        <v>2023</v>
      </c>
      <c r="D978" s="1" t="s">
        <v>2024</v>
      </c>
      <c r="E978" s="1" t="s">
        <v>2041</v>
      </c>
      <c r="F978" s="1" t="str">
        <f>HYPERLINK("https://talan.bank.gov.ua/get-user-certificate/J5325xmatPZEytZf5cQ3","Завантажити сертифікат")</f>
        <v>Завантажити сертифікат</v>
      </c>
    </row>
    <row r="979" spans="1:6" x14ac:dyDescent="0.3">
      <c r="A979" s="2">
        <v>978</v>
      </c>
      <c r="B979" s="1" t="s">
        <v>2042</v>
      </c>
      <c r="C979" s="1" t="s">
        <v>2023</v>
      </c>
      <c r="D979" s="1" t="s">
        <v>2024</v>
      </c>
      <c r="E979" s="1" t="s">
        <v>2043</v>
      </c>
      <c r="F979" s="1" t="str">
        <f>HYPERLINK("https://talan.bank.gov.ua/get-user-certificate/J5325-gxP7sPpW7WImL4","Завантажити сертифікат")</f>
        <v>Завантажити сертифікат</v>
      </c>
    </row>
    <row r="980" spans="1:6" x14ac:dyDescent="0.3">
      <c r="A980" s="2">
        <v>979</v>
      </c>
      <c r="B980" s="1" t="s">
        <v>2044</v>
      </c>
      <c r="C980" s="1" t="s">
        <v>2023</v>
      </c>
      <c r="D980" s="1" t="s">
        <v>2024</v>
      </c>
      <c r="E980" s="1" t="s">
        <v>2045</v>
      </c>
      <c r="F980" s="1" t="str">
        <f>HYPERLINK("https://talan.bank.gov.ua/get-user-certificate/J5325CsgOU5eXwnLcnFJ","Завантажити сертифікат")</f>
        <v>Завантажити сертифікат</v>
      </c>
    </row>
    <row r="981" spans="1:6" x14ac:dyDescent="0.3">
      <c r="A981" s="2">
        <v>980</v>
      </c>
      <c r="B981" s="1" t="s">
        <v>2046</v>
      </c>
      <c r="C981" s="1" t="s">
        <v>2023</v>
      </c>
      <c r="D981" s="1" t="s">
        <v>2024</v>
      </c>
      <c r="E981" s="1" t="s">
        <v>2047</v>
      </c>
      <c r="F981" s="1" t="str">
        <f>HYPERLINK("https://talan.bank.gov.ua/get-user-certificate/J5325H4Vf-yJ97P9i1L9","Завантажити сертифікат")</f>
        <v>Завантажити сертифікат</v>
      </c>
    </row>
    <row r="982" spans="1:6" ht="28.8" x14ac:dyDescent="0.3">
      <c r="A982" s="2">
        <v>981</v>
      </c>
      <c r="B982" s="1" t="s">
        <v>2048</v>
      </c>
      <c r="C982" s="1" t="s">
        <v>2049</v>
      </c>
      <c r="D982" s="1" t="s">
        <v>2050</v>
      </c>
      <c r="E982" s="1" t="s">
        <v>2051</v>
      </c>
      <c r="F982" s="1" t="str">
        <f>HYPERLINK("https://talan.bank.gov.ua/get-user-certificate/J5325gjzYfpPxB0hi51C","Завантажити сертифікат")</f>
        <v>Завантажити сертифікат</v>
      </c>
    </row>
    <row r="983" spans="1:6" ht="28.8" x14ac:dyDescent="0.3">
      <c r="A983" s="2">
        <v>982</v>
      </c>
      <c r="B983" s="1" t="s">
        <v>2052</v>
      </c>
      <c r="C983" s="1" t="s">
        <v>2049</v>
      </c>
      <c r="D983" s="1" t="s">
        <v>2050</v>
      </c>
      <c r="E983" s="1" t="s">
        <v>2053</v>
      </c>
      <c r="F983" s="1" t="str">
        <f>HYPERLINK("https://talan.bank.gov.ua/get-user-certificate/J53256olPOWa63i3-pX7","Завантажити сертифікат")</f>
        <v>Завантажити сертифікат</v>
      </c>
    </row>
    <row r="984" spans="1:6" ht="28.8" x14ac:dyDescent="0.3">
      <c r="A984" s="2">
        <v>983</v>
      </c>
      <c r="B984" s="1" t="s">
        <v>2054</v>
      </c>
      <c r="C984" s="1" t="s">
        <v>2049</v>
      </c>
      <c r="D984" s="1" t="s">
        <v>2050</v>
      </c>
      <c r="E984" s="1" t="s">
        <v>2055</v>
      </c>
      <c r="F984" s="1" t="str">
        <f>HYPERLINK("https://talan.bank.gov.ua/get-user-certificate/J53254O7YnteHFCvk9xw","Завантажити сертифікат")</f>
        <v>Завантажити сертифікат</v>
      </c>
    </row>
    <row r="985" spans="1:6" ht="28.8" x14ac:dyDescent="0.3">
      <c r="A985" s="2">
        <v>984</v>
      </c>
      <c r="B985" s="1" t="s">
        <v>2056</v>
      </c>
      <c r="C985" s="1" t="s">
        <v>2049</v>
      </c>
      <c r="D985" s="1" t="s">
        <v>2050</v>
      </c>
      <c r="E985" s="1" t="s">
        <v>2057</v>
      </c>
      <c r="F985" s="1" t="str">
        <f>HYPERLINK("https://talan.bank.gov.ua/get-user-certificate/J5325GRNtw9jL9TVoeX_","Завантажити сертифікат")</f>
        <v>Завантажити сертифікат</v>
      </c>
    </row>
    <row r="986" spans="1:6" ht="28.8" x14ac:dyDescent="0.3">
      <c r="A986" s="2">
        <v>985</v>
      </c>
      <c r="B986" s="1" t="s">
        <v>2058</v>
      </c>
      <c r="C986" s="1" t="s">
        <v>2049</v>
      </c>
      <c r="D986" s="1" t="s">
        <v>2050</v>
      </c>
      <c r="E986" s="1" t="s">
        <v>2059</v>
      </c>
      <c r="F986" s="1" t="str">
        <f>HYPERLINK("https://talan.bank.gov.ua/get-user-certificate/J5325bePxLeLdzmCyGif","Завантажити сертифікат")</f>
        <v>Завантажити сертифікат</v>
      </c>
    </row>
    <row r="987" spans="1:6" ht="28.8" x14ac:dyDescent="0.3">
      <c r="A987" s="2">
        <v>986</v>
      </c>
      <c r="B987" s="1" t="s">
        <v>2060</v>
      </c>
      <c r="C987" s="1" t="s">
        <v>2049</v>
      </c>
      <c r="D987" s="1" t="s">
        <v>2050</v>
      </c>
      <c r="E987" s="1" t="s">
        <v>2061</v>
      </c>
      <c r="F987" s="1" t="str">
        <f>HYPERLINK("https://talan.bank.gov.ua/get-user-certificate/J5325YxoCHQtimuvSBes","Завантажити сертифікат")</f>
        <v>Завантажити сертифікат</v>
      </c>
    </row>
    <row r="988" spans="1:6" ht="28.8" x14ac:dyDescent="0.3">
      <c r="A988" s="2">
        <v>987</v>
      </c>
      <c r="B988" s="1" t="s">
        <v>2062</v>
      </c>
      <c r="C988" s="1" t="s">
        <v>2049</v>
      </c>
      <c r="D988" s="1" t="s">
        <v>2050</v>
      </c>
      <c r="E988" s="1" t="s">
        <v>2063</v>
      </c>
      <c r="F988" s="1" t="str">
        <f>HYPERLINK("https://talan.bank.gov.ua/get-user-certificate/J5325pClGER2qsmBF_lW","Завантажити сертифікат")</f>
        <v>Завантажити сертифікат</v>
      </c>
    </row>
    <row r="989" spans="1:6" x14ac:dyDescent="0.3">
      <c r="A989" s="2">
        <v>988</v>
      </c>
      <c r="B989" s="1" t="s">
        <v>2064</v>
      </c>
      <c r="C989" s="1" t="s">
        <v>2065</v>
      </c>
      <c r="D989" s="1" t="s">
        <v>2066</v>
      </c>
      <c r="E989" s="1" t="s">
        <v>2067</v>
      </c>
      <c r="F989" s="1" t="str">
        <f>HYPERLINK("https://talan.bank.gov.ua/get-user-certificate/J5325KQw9Lmb1DTY_fCF","Завантажити сертифікат")</f>
        <v>Завантажити сертифікат</v>
      </c>
    </row>
    <row r="990" spans="1:6" x14ac:dyDescent="0.3">
      <c r="A990" s="2">
        <v>989</v>
      </c>
      <c r="B990" s="1" t="s">
        <v>2068</v>
      </c>
      <c r="C990" s="1" t="s">
        <v>2065</v>
      </c>
      <c r="D990" s="1" t="s">
        <v>2066</v>
      </c>
      <c r="E990" s="1" t="s">
        <v>2069</v>
      </c>
      <c r="F990" s="1" t="str">
        <f>HYPERLINK("https://talan.bank.gov.ua/get-user-certificate/J53250SLeaTHczNJcwqj","Завантажити сертифікат")</f>
        <v>Завантажити сертифікат</v>
      </c>
    </row>
    <row r="991" spans="1:6" x14ac:dyDescent="0.3">
      <c r="A991" s="2">
        <v>990</v>
      </c>
      <c r="B991" s="1" t="s">
        <v>2070</v>
      </c>
      <c r="C991" s="1" t="s">
        <v>2065</v>
      </c>
      <c r="D991" s="1" t="s">
        <v>2066</v>
      </c>
      <c r="E991" s="1" t="s">
        <v>2071</v>
      </c>
      <c r="F991" s="1" t="str">
        <f>HYPERLINK("https://talan.bank.gov.ua/get-user-certificate/J53253NINon_uMXbwnH1","Завантажити сертифікат")</f>
        <v>Завантажити сертифікат</v>
      </c>
    </row>
    <row r="992" spans="1:6" x14ac:dyDescent="0.3">
      <c r="A992" s="2">
        <v>991</v>
      </c>
      <c r="B992" s="1" t="s">
        <v>2072</v>
      </c>
      <c r="C992" s="1" t="s">
        <v>2065</v>
      </c>
      <c r="D992" s="1" t="s">
        <v>2066</v>
      </c>
      <c r="E992" s="1" t="s">
        <v>2073</v>
      </c>
      <c r="F992" s="1" t="str">
        <f>HYPERLINK("https://talan.bank.gov.ua/get-user-certificate/J5325BEX22711ZQ39Xmw","Завантажити сертифікат")</f>
        <v>Завантажити сертифікат</v>
      </c>
    </row>
    <row r="993" spans="1:6" x14ac:dyDescent="0.3">
      <c r="A993" s="2">
        <v>992</v>
      </c>
      <c r="B993" s="1" t="s">
        <v>2074</v>
      </c>
      <c r="C993" s="1" t="s">
        <v>2065</v>
      </c>
      <c r="D993" s="1" t="s">
        <v>2066</v>
      </c>
      <c r="E993" s="1" t="s">
        <v>2075</v>
      </c>
      <c r="F993" s="1" t="str">
        <f>HYPERLINK("https://talan.bank.gov.ua/get-user-certificate/J5325B8M-KHc9KqKN08e","Завантажити сертифікат")</f>
        <v>Завантажити сертифікат</v>
      </c>
    </row>
    <row r="994" spans="1:6" x14ac:dyDescent="0.3">
      <c r="A994" s="2">
        <v>993</v>
      </c>
      <c r="B994" s="1" t="s">
        <v>2076</v>
      </c>
      <c r="C994" s="1" t="s">
        <v>2065</v>
      </c>
      <c r="D994" s="1" t="s">
        <v>2066</v>
      </c>
      <c r="E994" s="1" t="s">
        <v>2077</v>
      </c>
      <c r="F994" s="1" t="str">
        <f>HYPERLINK("https://talan.bank.gov.ua/get-user-certificate/J5325vl9HhFGTLqD_0br","Завантажити сертифікат")</f>
        <v>Завантажити сертифікат</v>
      </c>
    </row>
    <row r="995" spans="1:6" x14ac:dyDescent="0.3">
      <c r="A995" s="2">
        <v>994</v>
      </c>
      <c r="B995" s="1" t="s">
        <v>2078</v>
      </c>
      <c r="C995" s="1" t="s">
        <v>2065</v>
      </c>
      <c r="D995" s="1" t="s">
        <v>2066</v>
      </c>
      <c r="E995" s="1" t="s">
        <v>2079</v>
      </c>
      <c r="F995" s="1" t="str">
        <f>HYPERLINK("https://talan.bank.gov.ua/get-user-certificate/J5325_vSSclzd35LMFSp","Завантажити сертифікат")</f>
        <v>Завантажити сертифікат</v>
      </c>
    </row>
    <row r="996" spans="1:6" x14ac:dyDescent="0.3">
      <c r="A996" s="2">
        <v>995</v>
      </c>
      <c r="B996" s="1" t="s">
        <v>2080</v>
      </c>
      <c r="C996" s="1" t="s">
        <v>2065</v>
      </c>
      <c r="D996" s="1" t="s">
        <v>2066</v>
      </c>
      <c r="E996" s="1" t="s">
        <v>2081</v>
      </c>
      <c r="F996" s="1" t="str">
        <f>HYPERLINK("https://talan.bank.gov.ua/get-user-certificate/J5325zTwalIj8-G7ZoD7","Завантажити сертифікат")</f>
        <v>Завантажити сертифікат</v>
      </c>
    </row>
    <row r="997" spans="1:6" x14ac:dyDescent="0.3">
      <c r="A997" s="2">
        <v>996</v>
      </c>
      <c r="B997" s="1" t="s">
        <v>2082</v>
      </c>
      <c r="C997" s="1" t="s">
        <v>2065</v>
      </c>
      <c r="D997" s="1" t="s">
        <v>2066</v>
      </c>
      <c r="E997" s="1" t="s">
        <v>2083</v>
      </c>
      <c r="F997" s="1" t="str">
        <f>HYPERLINK("https://talan.bank.gov.ua/get-user-certificate/J53250o1XOfkzYo7Pprk","Завантажити сертифікат")</f>
        <v>Завантажити сертифікат</v>
      </c>
    </row>
    <row r="998" spans="1:6" x14ac:dyDescent="0.3">
      <c r="A998" s="2">
        <v>997</v>
      </c>
      <c r="B998" s="1" t="s">
        <v>2084</v>
      </c>
      <c r="C998" s="1" t="s">
        <v>2065</v>
      </c>
      <c r="D998" s="1" t="s">
        <v>2066</v>
      </c>
      <c r="E998" s="1" t="s">
        <v>2085</v>
      </c>
      <c r="F998" s="1" t="str">
        <f>HYPERLINK("https://talan.bank.gov.ua/get-user-certificate/J5325jn3_p2v2kaa27Rz","Завантажити сертифікат")</f>
        <v>Завантажити сертифікат</v>
      </c>
    </row>
    <row r="999" spans="1:6" x14ac:dyDescent="0.3">
      <c r="A999" s="2">
        <v>998</v>
      </c>
      <c r="B999" s="1" t="s">
        <v>2086</v>
      </c>
      <c r="C999" s="1" t="s">
        <v>2065</v>
      </c>
      <c r="D999" s="1" t="s">
        <v>2066</v>
      </c>
      <c r="E999" s="1" t="s">
        <v>2087</v>
      </c>
      <c r="F999" s="1" t="str">
        <f>HYPERLINK("https://talan.bank.gov.ua/get-user-certificate/J5325bi8ZcKdTmGblJob","Завантажити сертифікат")</f>
        <v>Завантажити сертифікат</v>
      </c>
    </row>
    <row r="1000" spans="1:6" x14ac:dyDescent="0.3">
      <c r="A1000" s="2">
        <v>999</v>
      </c>
      <c r="B1000" s="1" t="s">
        <v>2088</v>
      </c>
      <c r="C1000" s="1" t="s">
        <v>2065</v>
      </c>
      <c r="D1000" s="1" t="s">
        <v>2066</v>
      </c>
      <c r="E1000" s="1" t="s">
        <v>2089</v>
      </c>
      <c r="F1000" s="1" t="str">
        <f>HYPERLINK("https://talan.bank.gov.ua/get-user-certificate/J5325m6saalioFHehC3M","Завантажити сертифікат")</f>
        <v>Завантажити сертифікат</v>
      </c>
    </row>
    <row r="1001" spans="1:6" x14ac:dyDescent="0.3">
      <c r="A1001" s="2">
        <v>1000</v>
      </c>
      <c r="B1001" s="1" t="s">
        <v>2090</v>
      </c>
      <c r="C1001" s="1" t="s">
        <v>2065</v>
      </c>
      <c r="D1001" s="1" t="s">
        <v>2066</v>
      </c>
      <c r="E1001" s="1" t="s">
        <v>2091</v>
      </c>
      <c r="F1001" s="1" t="str">
        <f>HYPERLINK("https://talan.bank.gov.ua/get-user-certificate/J5325sOaGIaItCSsQicw","Завантажити сертифікат")</f>
        <v>Завантажити сертифікат</v>
      </c>
    </row>
    <row r="1002" spans="1:6" x14ac:dyDescent="0.3">
      <c r="A1002" s="2">
        <v>1001</v>
      </c>
      <c r="B1002" s="1" t="s">
        <v>2092</v>
      </c>
      <c r="C1002" s="1" t="s">
        <v>2065</v>
      </c>
      <c r="D1002" s="1" t="s">
        <v>2066</v>
      </c>
      <c r="E1002" s="1" t="s">
        <v>2093</v>
      </c>
      <c r="F1002" s="1" t="str">
        <f>HYPERLINK("https://talan.bank.gov.ua/get-user-certificate/J5325FaO3Z-n5xuMHjJh","Завантажити сертифікат")</f>
        <v>Завантажити сертифікат</v>
      </c>
    </row>
    <row r="1003" spans="1:6" x14ac:dyDescent="0.3">
      <c r="A1003" s="2">
        <v>1002</v>
      </c>
      <c r="B1003" s="1" t="s">
        <v>2094</v>
      </c>
      <c r="C1003" s="1" t="s">
        <v>2065</v>
      </c>
      <c r="D1003" s="1" t="s">
        <v>2066</v>
      </c>
      <c r="E1003" s="1" t="s">
        <v>2095</v>
      </c>
      <c r="F1003" s="1" t="str">
        <f>HYPERLINK("https://talan.bank.gov.ua/get-user-certificate/J5325vO-5uavnG7seWK1","Завантажити сертифікат")</f>
        <v>Завантажити сертифікат</v>
      </c>
    </row>
    <row r="1004" spans="1:6" x14ac:dyDescent="0.3">
      <c r="A1004" s="2">
        <v>1003</v>
      </c>
      <c r="B1004" s="1" t="s">
        <v>2096</v>
      </c>
      <c r="C1004" s="1" t="s">
        <v>2065</v>
      </c>
      <c r="D1004" s="1" t="s">
        <v>2066</v>
      </c>
      <c r="E1004" s="1" t="s">
        <v>2097</v>
      </c>
      <c r="F1004" s="1" t="str">
        <f>HYPERLINK("https://talan.bank.gov.ua/get-user-certificate/J5325O-B8hAcWmzRgCAl","Завантажити сертифікат")</f>
        <v>Завантажити сертифікат</v>
      </c>
    </row>
    <row r="1005" spans="1:6" x14ac:dyDescent="0.3">
      <c r="A1005" s="2">
        <v>1004</v>
      </c>
      <c r="B1005" s="1" t="s">
        <v>2098</v>
      </c>
      <c r="C1005" s="1" t="s">
        <v>2065</v>
      </c>
      <c r="D1005" s="1" t="s">
        <v>2066</v>
      </c>
      <c r="E1005" s="1" t="s">
        <v>2099</v>
      </c>
      <c r="F1005" s="1" t="str">
        <f>HYPERLINK("https://talan.bank.gov.ua/get-user-certificate/J5325vWoxs5gLAiGC9cY","Завантажити сертифікат")</f>
        <v>Завантажити сертифікат</v>
      </c>
    </row>
    <row r="1006" spans="1:6" x14ac:dyDescent="0.3">
      <c r="A1006" s="2">
        <v>1005</v>
      </c>
      <c r="B1006" s="1" t="s">
        <v>2100</v>
      </c>
      <c r="C1006" s="1" t="s">
        <v>2065</v>
      </c>
      <c r="D1006" s="1" t="s">
        <v>2066</v>
      </c>
      <c r="E1006" s="1" t="s">
        <v>2101</v>
      </c>
      <c r="F1006" s="1" t="str">
        <f>HYPERLINK("https://talan.bank.gov.ua/get-user-certificate/J5325CNOtEqjEXozuFmh","Завантажити сертифікат")</f>
        <v>Завантажити сертифікат</v>
      </c>
    </row>
    <row r="1007" spans="1:6" ht="43.2" x14ac:dyDescent="0.3">
      <c r="A1007" s="2">
        <v>1006</v>
      </c>
      <c r="B1007" s="1" t="s">
        <v>2102</v>
      </c>
      <c r="C1007" s="1" t="s">
        <v>2103</v>
      </c>
      <c r="D1007" s="1" t="s">
        <v>2104</v>
      </c>
      <c r="E1007" s="1" t="s">
        <v>2105</v>
      </c>
      <c r="F1007" s="1" t="str">
        <f>HYPERLINK("https://talan.bank.gov.ua/get-user-certificate/J5325R9Qfc7OocVXOuqT","Завантажити сертифікат")</f>
        <v>Завантажити сертифікат</v>
      </c>
    </row>
    <row r="1008" spans="1:6" ht="43.2" x14ac:dyDescent="0.3">
      <c r="A1008" s="2">
        <v>1007</v>
      </c>
      <c r="B1008" s="1" t="s">
        <v>2106</v>
      </c>
      <c r="C1008" s="1" t="s">
        <v>2103</v>
      </c>
      <c r="D1008" s="1" t="s">
        <v>2104</v>
      </c>
      <c r="E1008" s="1" t="s">
        <v>2107</v>
      </c>
      <c r="F1008" s="1" t="str">
        <f>HYPERLINK("https://talan.bank.gov.ua/get-user-certificate/J5325N7lqg65XZo2Y53-","Завантажити сертифікат")</f>
        <v>Завантажити сертифікат</v>
      </c>
    </row>
    <row r="1009" spans="1:6" ht="43.2" x14ac:dyDescent="0.3">
      <c r="A1009" s="2">
        <v>1008</v>
      </c>
      <c r="B1009" s="1" t="s">
        <v>2108</v>
      </c>
      <c r="C1009" s="1" t="s">
        <v>2103</v>
      </c>
      <c r="D1009" s="1" t="s">
        <v>2104</v>
      </c>
      <c r="E1009" s="1" t="s">
        <v>2109</v>
      </c>
      <c r="F1009" s="1" t="str">
        <f>HYPERLINK("https://talan.bank.gov.ua/get-user-certificate/J5325CrqqtBSu8hE4gl5","Завантажити сертифікат")</f>
        <v>Завантажити сертифікат</v>
      </c>
    </row>
    <row r="1010" spans="1:6" ht="43.2" x14ac:dyDescent="0.3">
      <c r="A1010" s="2">
        <v>1009</v>
      </c>
      <c r="B1010" s="1" t="s">
        <v>2110</v>
      </c>
      <c r="C1010" s="1" t="s">
        <v>2103</v>
      </c>
      <c r="D1010" s="1" t="s">
        <v>2104</v>
      </c>
      <c r="E1010" s="1" t="s">
        <v>2111</v>
      </c>
      <c r="F1010" s="1" t="str">
        <f>HYPERLINK("https://talan.bank.gov.ua/get-user-certificate/J5325VE2zxFfCdO8_ZHJ","Завантажити сертифікат")</f>
        <v>Завантажити сертифікат</v>
      </c>
    </row>
    <row r="1011" spans="1:6" ht="43.2" x14ac:dyDescent="0.3">
      <c r="A1011" s="2">
        <v>1010</v>
      </c>
      <c r="B1011" s="1" t="s">
        <v>2112</v>
      </c>
      <c r="C1011" s="1" t="s">
        <v>2103</v>
      </c>
      <c r="D1011" s="1" t="s">
        <v>2104</v>
      </c>
      <c r="E1011" s="1" t="s">
        <v>2113</v>
      </c>
      <c r="F1011" s="1" t="str">
        <f>HYPERLINK("https://talan.bank.gov.ua/get-user-certificate/J5325NS9LN3UnZ9Et4WH","Завантажити сертифікат")</f>
        <v>Завантажити сертифікат</v>
      </c>
    </row>
    <row r="1012" spans="1:6" ht="57.6" x14ac:dyDescent="0.3">
      <c r="A1012" s="2">
        <v>1011</v>
      </c>
      <c r="B1012" s="1" t="s">
        <v>2114</v>
      </c>
      <c r="C1012" s="1" t="s">
        <v>2115</v>
      </c>
      <c r="D1012" s="1" t="s">
        <v>2116</v>
      </c>
      <c r="E1012" s="1" t="s">
        <v>2117</v>
      </c>
      <c r="F1012" s="1" t="str">
        <f>HYPERLINK("https://talan.bank.gov.ua/get-user-certificate/J5325Kqm2-Yow27bXcpm","Завантажити сертифікат")</f>
        <v>Завантажити сертифікат</v>
      </c>
    </row>
    <row r="1013" spans="1:6" ht="57.6" x14ac:dyDescent="0.3">
      <c r="A1013" s="2">
        <v>1012</v>
      </c>
      <c r="B1013" s="1" t="s">
        <v>2118</v>
      </c>
      <c r="C1013" s="1" t="s">
        <v>2115</v>
      </c>
      <c r="D1013" s="1" t="s">
        <v>2116</v>
      </c>
      <c r="E1013" s="1" t="s">
        <v>2119</v>
      </c>
      <c r="F1013" s="1" t="str">
        <f>HYPERLINK("https://talan.bank.gov.ua/get-user-certificate/J53257hZOaQU995hO0OI","Завантажити сертифікат")</f>
        <v>Завантажити сертифікат</v>
      </c>
    </row>
    <row r="1014" spans="1:6" ht="57.6" x14ac:dyDescent="0.3">
      <c r="A1014" s="2">
        <v>1013</v>
      </c>
      <c r="B1014" s="1" t="s">
        <v>2120</v>
      </c>
      <c r="C1014" s="1" t="s">
        <v>2115</v>
      </c>
      <c r="D1014" s="1" t="s">
        <v>2116</v>
      </c>
      <c r="E1014" s="1" t="s">
        <v>2121</v>
      </c>
      <c r="F1014" s="1" t="str">
        <f>HYPERLINK("https://talan.bank.gov.ua/get-user-certificate/J5325KvTt4lWDcERvfdg","Завантажити сертифікат")</f>
        <v>Завантажити сертифікат</v>
      </c>
    </row>
    <row r="1015" spans="1:6" ht="57.6" x14ac:dyDescent="0.3">
      <c r="A1015" s="2">
        <v>1014</v>
      </c>
      <c r="B1015" s="1" t="s">
        <v>2122</v>
      </c>
      <c r="C1015" s="1" t="s">
        <v>2115</v>
      </c>
      <c r="D1015" s="1" t="s">
        <v>2116</v>
      </c>
      <c r="E1015" s="1" t="s">
        <v>2123</v>
      </c>
      <c r="F1015" s="1" t="str">
        <f>HYPERLINK("https://talan.bank.gov.ua/get-user-certificate/J5325t1QgESDHjEEtR7F","Завантажити сертифікат")</f>
        <v>Завантажити сертифікат</v>
      </c>
    </row>
    <row r="1016" spans="1:6" ht="57.6" x14ac:dyDescent="0.3">
      <c r="A1016" s="2">
        <v>1015</v>
      </c>
      <c r="B1016" s="1" t="s">
        <v>2124</v>
      </c>
      <c r="C1016" s="1" t="s">
        <v>2115</v>
      </c>
      <c r="D1016" s="1" t="s">
        <v>2116</v>
      </c>
      <c r="E1016" s="1" t="s">
        <v>2125</v>
      </c>
      <c r="F1016" s="1" t="str">
        <f>HYPERLINK("https://talan.bank.gov.ua/get-user-certificate/J5325ijp_GmdZAHILwDj","Завантажити сертифікат")</f>
        <v>Завантажити сертифікат</v>
      </c>
    </row>
    <row r="1017" spans="1:6" ht="57.6" x14ac:dyDescent="0.3">
      <c r="A1017" s="2">
        <v>1016</v>
      </c>
      <c r="B1017" s="1" t="s">
        <v>2126</v>
      </c>
      <c r="C1017" s="1" t="s">
        <v>2115</v>
      </c>
      <c r="D1017" s="1" t="s">
        <v>2116</v>
      </c>
      <c r="E1017" s="1" t="s">
        <v>2127</v>
      </c>
      <c r="F1017" s="1" t="str">
        <f>HYPERLINK("https://talan.bank.gov.ua/get-user-certificate/J5325eXHKx-McssBX44x","Завантажити сертифікат")</f>
        <v>Завантажити сертифікат</v>
      </c>
    </row>
    <row r="1018" spans="1:6" ht="57.6" x14ac:dyDescent="0.3">
      <c r="A1018" s="2">
        <v>1017</v>
      </c>
      <c r="B1018" s="1" t="s">
        <v>2128</v>
      </c>
      <c r="C1018" s="1" t="s">
        <v>2115</v>
      </c>
      <c r="D1018" s="1" t="s">
        <v>2116</v>
      </c>
      <c r="E1018" s="1" t="s">
        <v>2129</v>
      </c>
      <c r="F1018" s="1" t="str">
        <f>HYPERLINK("https://talan.bank.gov.ua/get-user-certificate/J5325Q8PazExZacvKWT8","Завантажити сертифікат")</f>
        <v>Завантажити сертифікат</v>
      </c>
    </row>
    <row r="1019" spans="1:6" ht="57.6" x14ac:dyDescent="0.3">
      <c r="A1019" s="2">
        <v>1018</v>
      </c>
      <c r="B1019" s="1" t="s">
        <v>2130</v>
      </c>
      <c r="C1019" s="1" t="s">
        <v>2115</v>
      </c>
      <c r="D1019" s="1" t="s">
        <v>2116</v>
      </c>
      <c r="E1019" s="1" t="s">
        <v>2131</v>
      </c>
      <c r="F1019" s="1" t="str">
        <f>HYPERLINK("https://talan.bank.gov.ua/get-user-certificate/J5325gpYMgld2ciaAiyK","Завантажити сертифікат")</f>
        <v>Завантажити сертифікат</v>
      </c>
    </row>
    <row r="1020" spans="1:6" ht="57.6" x14ac:dyDescent="0.3">
      <c r="A1020" s="2">
        <v>1019</v>
      </c>
      <c r="B1020" s="1" t="s">
        <v>2132</v>
      </c>
      <c r="C1020" s="1" t="s">
        <v>2115</v>
      </c>
      <c r="D1020" s="1" t="s">
        <v>2116</v>
      </c>
      <c r="E1020" s="1" t="s">
        <v>2133</v>
      </c>
      <c r="F1020" s="1" t="str">
        <f>HYPERLINK("https://talan.bank.gov.ua/get-user-certificate/J53253MZd-at-t55KmlC","Завантажити сертифікат")</f>
        <v>Завантажити сертифікат</v>
      </c>
    </row>
    <row r="1021" spans="1:6" ht="57.6" x14ac:dyDescent="0.3">
      <c r="A1021" s="2">
        <v>1020</v>
      </c>
      <c r="B1021" s="1" t="s">
        <v>2134</v>
      </c>
      <c r="C1021" s="1" t="s">
        <v>2115</v>
      </c>
      <c r="D1021" s="1" t="s">
        <v>2116</v>
      </c>
      <c r="E1021" s="1" t="s">
        <v>2135</v>
      </c>
      <c r="F1021" s="1" t="str">
        <f>HYPERLINK("https://talan.bank.gov.ua/get-user-certificate/J5325Ek4y6LoAUppVmq6","Завантажити сертифікат")</f>
        <v>Завантажити сертифікат</v>
      </c>
    </row>
    <row r="1022" spans="1:6" ht="57.6" x14ac:dyDescent="0.3">
      <c r="A1022" s="2">
        <v>1021</v>
      </c>
      <c r="B1022" s="1" t="s">
        <v>2136</v>
      </c>
      <c r="C1022" s="1" t="s">
        <v>2115</v>
      </c>
      <c r="D1022" s="1" t="s">
        <v>2116</v>
      </c>
      <c r="E1022" s="1" t="s">
        <v>2137</v>
      </c>
      <c r="F1022" s="1" t="str">
        <f>HYPERLINK("https://talan.bank.gov.ua/get-user-certificate/J53256vGCxk_mw0p7Ogi","Завантажити сертифікат")</f>
        <v>Завантажити сертифікат</v>
      </c>
    </row>
    <row r="1023" spans="1:6" ht="57.6" x14ac:dyDescent="0.3">
      <c r="A1023" s="2">
        <v>1022</v>
      </c>
      <c r="B1023" s="1" t="s">
        <v>2138</v>
      </c>
      <c r="C1023" s="1" t="s">
        <v>2115</v>
      </c>
      <c r="D1023" s="1" t="s">
        <v>2116</v>
      </c>
      <c r="E1023" s="1" t="s">
        <v>2139</v>
      </c>
      <c r="F1023" s="1" t="str">
        <f>HYPERLINK("https://talan.bank.gov.ua/get-user-certificate/J5325EprqX6YjSkxku3q","Завантажити сертифікат")</f>
        <v>Завантажити сертифікат</v>
      </c>
    </row>
    <row r="1024" spans="1:6" ht="43.2" x14ac:dyDescent="0.3">
      <c r="A1024" s="2">
        <v>1023</v>
      </c>
      <c r="B1024" s="1" t="s">
        <v>2140</v>
      </c>
      <c r="C1024" s="1" t="s">
        <v>2141</v>
      </c>
      <c r="D1024" s="1" t="s">
        <v>2142</v>
      </c>
      <c r="E1024" s="1" t="s">
        <v>2143</v>
      </c>
      <c r="F1024" s="1" t="str">
        <f>HYPERLINK("https://talan.bank.gov.ua/get-user-certificate/J5325YSfrWfYawyKwmcy","Завантажити сертифікат")</f>
        <v>Завантажити сертифікат</v>
      </c>
    </row>
    <row r="1025" spans="1:6" ht="43.2" x14ac:dyDescent="0.3">
      <c r="A1025" s="2">
        <v>1024</v>
      </c>
      <c r="B1025" s="1" t="s">
        <v>2144</v>
      </c>
      <c r="C1025" s="1" t="s">
        <v>2141</v>
      </c>
      <c r="D1025" s="1" t="s">
        <v>2142</v>
      </c>
      <c r="E1025" s="1" t="s">
        <v>2145</v>
      </c>
      <c r="F1025" s="1" t="str">
        <f>HYPERLINK("https://talan.bank.gov.ua/get-user-certificate/J5325axYEjj5Cjf6eL2q","Завантажити сертифікат")</f>
        <v>Завантажити сертифікат</v>
      </c>
    </row>
    <row r="1026" spans="1:6" ht="43.2" x14ac:dyDescent="0.3">
      <c r="A1026" s="2">
        <v>1025</v>
      </c>
      <c r="B1026" s="1" t="s">
        <v>2146</v>
      </c>
      <c r="C1026" s="1" t="s">
        <v>2141</v>
      </c>
      <c r="D1026" s="1" t="s">
        <v>2142</v>
      </c>
      <c r="E1026" s="1" t="s">
        <v>2147</v>
      </c>
      <c r="F1026" s="1" t="str">
        <f>HYPERLINK("https://talan.bank.gov.ua/get-user-certificate/J5325vkRlURlVbNN7tLl","Завантажити сертифікат")</f>
        <v>Завантажити сертифікат</v>
      </c>
    </row>
    <row r="1027" spans="1:6" ht="43.2" x14ac:dyDescent="0.3">
      <c r="A1027" s="2">
        <v>1026</v>
      </c>
      <c r="B1027" s="1" t="s">
        <v>2148</v>
      </c>
      <c r="C1027" s="1" t="s">
        <v>2141</v>
      </c>
      <c r="D1027" s="1" t="s">
        <v>2142</v>
      </c>
      <c r="E1027" s="1" t="s">
        <v>2149</v>
      </c>
      <c r="F1027" s="1" t="str">
        <f>HYPERLINK("https://talan.bank.gov.ua/get-user-certificate/J5325e6gXr3SCKL7nDK5","Завантажити сертифікат")</f>
        <v>Завантажити сертифікат</v>
      </c>
    </row>
    <row r="1028" spans="1:6" ht="43.2" x14ac:dyDescent="0.3">
      <c r="A1028" s="2">
        <v>1027</v>
      </c>
      <c r="B1028" s="1" t="s">
        <v>2150</v>
      </c>
      <c r="C1028" s="1" t="s">
        <v>2141</v>
      </c>
      <c r="D1028" s="1" t="s">
        <v>2142</v>
      </c>
      <c r="E1028" s="1" t="s">
        <v>2151</v>
      </c>
      <c r="F1028" s="1" t="str">
        <f>HYPERLINK("https://talan.bank.gov.ua/get-user-certificate/J5325yZqVT_mvNeoBVF4","Завантажити сертифікат")</f>
        <v>Завантажити сертифікат</v>
      </c>
    </row>
    <row r="1029" spans="1:6" x14ac:dyDescent="0.3">
      <c r="A1029" s="2">
        <v>1028</v>
      </c>
      <c r="B1029" s="1" t="s">
        <v>2152</v>
      </c>
      <c r="C1029" s="1" t="s">
        <v>2153</v>
      </c>
      <c r="D1029" s="1" t="s">
        <v>2154</v>
      </c>
      <c r="E1029" s="1" t="s">
        <v>2155</v>
      </c>
      <c r="F1029" s="1" t="str">
        <f>HYPERLINK("https://talan.bank.gov.ua/get-user-certificate/J5325BLcISW8VmFlnXLd","Завантажити сертифікат")</f>
        <v>Завантажити сертифікат</v>
      </c>
    </row>
    <row r="1030" spans="1:6" x14ac:dyDescent="0.3">
      <c r="A1030" s="2">
        <v>1029</v>
      </c>
      <c r="B1030" s="1" t="s">
        <v>2156</v>
      </c>
      <c r="C1030" s="1" t="s">
        <v>2153</v>
      </c>
      <c r="D1030" s="1" t="s">
        <v>2154</v>
      </c>
      <c r="E1030" s="1" t="s">
        <v>2157</v>
      </c>
      <c r="F1030" s="1" t="str">
        <f>HYPERLINK("https://talan.bank.gov.ua/get-user-certificate/J5325_Uw9bVXL1Krp1LY","Завантажити сертифікат")</f>
        <v>Завантажити сертифікат</v>
      </c>
    </row>
    <row r="1031" spans="1:6" x14ac:dyDescent="0.3">
      <c r="A1031" s="2">
        <v>1030</v>
      </c>
      <c r="B1031" s="1" t="s">
        <v>2158</v>
      </c>
      <c r="C1031" s="1" t="s">
        <v>2153</v>
      </c>
      <c r="D1031" s="1" t="s">
        <v>2154</v>
      </c>
      <c r="E1031" s="1" t="s">
        <v>2159</v>
      </c>
      <c r="F1031" s="1" t="str">
        <f>HYPERLINK("https://talan.bank.gov.ua/get-user-certificate/J5325KyZ7KdbPpx2MM9z","Завантажити сертифікат")</f>
        <v>Завантажити сертифікат</v>
      </c>
    </row>
    <row r="1032" spans="1:6" x14ac:dyDescent="0.3">
      <c r="A1032" s="2">
        <v>1031</v>
      </c>
      <c r="B1032" s="1" t="s">
        <v>2160</v>
      </c>
      <c r="C1032" s="1" t="s">
        <v>2153</v>
      </c>
      <c r="D1032" s="1" t="s">
        <v>2154</v>
      </c>
      <c r="E1032" s="1" t="s">
        <v>2161</v>
      </c>
      <c r="F1032" s="1" t="str">
        <f>HYPERLINK("https://talan.bank.gov.ua/get-user-certificate/J5325rZIlxax7VbG0yV4","Завантажити сертифікат")</f>
        <v>Завантажити сертифікат</v>
      </c>
    </row>
    <row r="1033" spans="1:6" x14ac:dyDescent="0.3">
      <c r="A1033" s="2">
        <v>1032</v>
      </c>
      <c r="B1033" s="1" t="s">
        <v>2162</v>
      </c>
      <c r="C1033" s="1" t="s">
        <v>2153</v>
      </c>
      <c r="D1033" s="1" t="s">
        <v>2154</v>
      </c>
      <c r="E1033" s="1" t="s">
        <v>2163</v>
      </c>
      <c r="F1033" s="1" t="str">
        <f>HYPERLINK("https://talan.bank.gov.ua/get-user-certificate/J5325_4xYJS7f2dNy4wr","Завантажити сертифікат")</f>
        <v>Завантажити сертифікат</v>
      </c>
    </row>
    <row r="1034" spans="1:6" x14ac:dyDescent="0.3">
      <c r="A1034" s="2">
        <v>1033</v>
      </c>
      <c r="B1034" s="1" t="s">
        <v>2164</v>
      </c>
      <c r="C1034" s="1" t="s">
        <v>2153</v>
      </c>
      <c r="D1034" s="1" t="s">
        <v>2154</v>
      </c>
      <c r="E1034" s="1" t="s">
        <v>2165</v>
      </c>
      <c r="F1034" s="1" t="str">
        <f>HYPERLINK("https://talan.bank.gov.ua/get-user-certificate/J5325j8UZO80k4i3a3fG","Завантажити сертифікат")</f>
        <v>Завантажити сертифікат</v>
      </c>
    </row>
    <row r="1035" spans="1:6" x14ac:dyDescent="0.3">
      <c r="A1035" s="2">
        <v>1034</v>
      </c>
      <c r="B1035" s="1" t="s">
        <v>2166</v>
      </c>
      <c r="C1035" s="1" t="s">
        <v>2153</v>
      </c>
      <c r="D1035" s="1" t="s">
        <v>2154</v>
      </c>
      <c r="E1035" s="1" t="s">
        <v>2167</v>
      </c>
      <c r="F1035" s="1" t="str">
        <f>HYPERLINK("https://talan.bank.gov.ua/get-user-certificate/J5325bXcKXIqQwEpwCp2","Завантажити сертифікат")</f>
        <v>Завантажити сертифікат</v>
      </c>
    </row>
    <row r="1036" spans="1:6" x14ac:dyDescent="0.3">
      <c r="A1036" s="2">
        <v>1035</v>
      </c>
      <c r="B1036" s="1" t="s">
        <v>2168</v>
      </c>
      <c r="C1036" s="1" t="s">
        <v>2153</v>
      </c>
      <c r="D1036" s="1" t="s">
        <v>2154</v>
      </c>
      <c r="E1036" s="1" t="s">
        <v>2169</v>
      </c>
      <c r="F1036" s="1" t="str">
        <f>HYPERLINK("https://talan.bank.gov.ua/get-user-certificate/J532555aOYazbiyQiic6","Завантажити сертифікат")</f>
        <v>Завантажити сертифікат</v>
      </c>
    </row>
    <row r="1037" spans="1:6" x14ac:dyDescent="0.3">
      <c r="A1037" s="2">
        <v>1036</v>
      </c>
      <c r="B1037" s="1" t="s">
        <v>2170</v>
      </c>
      <c r="C1037" s="1" t="s">
        <v>2153</v>
      </c>
      <c r="D1037" s="1" t="s">
        <v>2154</v>
      </c>
      <c r="E1037" s="1" t="s">
        <v>2171</v>
      </c>
      <c r="F1037" s="1" t="str">
        <f>HYPERLINK("https://talan.bank.gov.ua/get-user-certificate/J5325IHP3XpFs6sRRlkZ","Завантажити сертифікат")</f>
        <v>Завантажити сертифікат</v>
      </c>
    </row>
    <row r="1038" spans="1:6" x14ac:dyDescent="0.3">
      <c r="A1038" s="2">
        <v>1037</v>
      </c>
      <c r="B1038" s="1" t="s">
        <v>2172</v>
      </c>
      <c r="C1038" s="1" t="s">
        <v>2153</v>
      </c>
      <c r="D1038" s="1" t="s">
        <v>2154</v>
      </c>
      <c r="E1038" s="1" t="s">
        <v>2173</v>
      </c>
      <c r="F1038" s="1" t="str">
        <f>HYPERLINK("https://talan.bank.gov.ua/get-user-certificate/J5325YUnyAyvCt6GoKIy","Завантажити сертифікат")</f>
        <v>Завантажити сертифікат</v>
      </c>
    </row>
    <row r="1039" spans="1:6" x14ac:dyDescent="0.3">
      <c r="A1039" s="2">
        <v>1038</v>
      </c>
      <c r="B1039" s="1" t="s">
        <v>2174</v>
      </c>
      <c r="C1039" s="1" t="s">
        <v>2153</v>
      </c>
      <c r="D1039" s="1" t="s">
        <v>2154</v>
      </c>
      <c r="E1039" s="1" t="s">
        <v>2175</v>
      </c>
      <c r="F1039" s="1" t="str">
        <f>HYPERLINK("https://talan.bank.gov.ua/get-user-certificate/J5325tBunjs5sTiyqxoq","Завантажити сертифікат")</f>
        <v>Завантажити сертифікат</v>
      </c>
    </row>
    <row r="1040" spans="1:6" x14ac:dyDescent="0.3">
      <c r="A1040" s="2">
        <v>1039</v>
      </c>
      <c r="B1040" s="1" t="s">
        <v>2176</v>
      </c>
      <c r="C1040" s="1" t="s">
        <v>2153</v>
      </c>
      <c r="D1040" s="1" t="s">
        <v>2154</v>
      </c>
      <c r="E1040" s="1" t="s">
        <v>2177</v>
      </c>
      <c r="F1040" s="1" t="str">
        <f>HYPERLINK("https://talan.bank.gov.ua/get-user-certificate/J5325ix0cc2hvKq15LqC","Завантажити сертифікат")</f>
        <v>Завантажити сертифікат</v>
      </c>
    </row>
    <row r="1041" spans="1:6" x14ac:dyDescent="0.3">
      <c r="A1041" s="2">
        <v>1040</v>
      </c>
      <c r="B1041" s="1" t="s">
        <v>2178</v>
      </c>
      <c r="C1041" s="1" t="s">
        <v>2153</v>
      </c>
      <c r="D1041" s="1" t="s">
        <v>2154</v>
      </c>
      <c r="E1041" s="1" t="s">
        <v>2179</v>
      </c>
      <c r="F1041" s="1" t="str">
        <f>HYPERLINK("https://talan.bank.gov.ua/get-user-certificate/J5325cleAWEU6pJbNTlk","Завантажити сертифікат")</f>
        <v>Завантажити сертифікат</v>
      </c>
    </row>
    <row r="1042" spans="1:6" x14ac:dyDescent="0.3">
      <c r="A1042" s="2">
        <v>1041</v>
      </c>
      <c r="B1042" s="1" t="s">
        <v>2180</v>
      </c>
      <c r="C1042" s="1" t="s">
        <v>2153</v>
      </c>
      <c r="D1042" s="1" t="s">
        <v>2154</v>
      </c>
      <c r="E1042" s="1" t="s">
        <v>2181</v>
      </c>
      <c r="F1042" s="1" t="str">
        <f>HYPERLINK("https://talan.bank.gov.ua/get-user-certificate/J53256J89uhYzQKw1irO","Завантажити сертифікат")</f>
        <v>Завантажити сертифікат</v>
      </c>
    </row>
    <row r="1043" spans="1:6" x14ac:dyDescent="0.3">
      <c r="A1043" s="2">
        <v>1042</v>
      </c>
      <c r="B1043" s="1" t="s">
        <v>2182</v>
      </c>
      <c r="C1043" s="1" t="s">
        <v>2153</v>
      </c>
      <c r="D1043" s="1" t="s">
        <v>2154</v>
      </c>
      <c r="E1043" s="1" t="s">
        <v>2183</v>
      </c>
      <c r="F1043" s="1" t="str">
        <f>HYPERLINK("https://talan.bank.gov.ua/get-user-certificate/J5325CExtbXp1ZgVxZeg","Завантажити сертифікат")</f>
        <v>Завантажити сертифікат</v>
      </c>
    </row>
    <row r="1044" spans="1:6" x14ac:dyDescent="0.3">
      <c r="A1044" s="2">
        <v>1043</v>
      </c>
      <c r="B1044" s="1" t="s">
        <v>2184</v>
      </c>
      <c r="C1044" s="1" t="s">
        <v>2153</v>
      </c>
      <c r="D1044" s="1" t="s">
        <v>2154</v>
      </c>
      <c r="E1044" s="1" t="s">
        <v>2185</v>
      </c>
      <c r="F1044" s="1" t="str">
        <f>HYPERLINK("https://talan.bank.gov.ua/get-user-certificate/J5325UT9AudjM0OnaI6a","Завантажити сертифікат")</f>
        <v>Завантажити сертифікат</v>
      </c>
    </row>
    <row r="1045" spans="1:6" x14ac:dyDescent="0.3">
      <c r="A1045" s="2">
        <v>1044</v>
      </c>
      <c r="B1045" s="1" t="s">
        <v>2186</v>
      </c>
      <c r="C1045" s="1" t="s">
        <v>2153</v>
      </c>
      <c r="D1045" s="1" t="s">
        <v>2154</v>
      </c>
      <c r="E1045" s="1" t="s">
        <v>2187</v>
      </c>
      <c r="F1045" s="1" t="str">
        <f>HYPERLINK("https://talan.bank.gov.ua/get-user-certificate/J5325RM1u_tzP9Y22aCI","Завантажити сертифікат")</f>
        <v>Завантажити сертифікат</v>
      </c>
    </row>
    <row r="1046" spans="1:6" x14ac:dyDescent="0.3">
      <c r="A1046" s="2">
        <v>1045</v>
      </c>
      <c r="B1046" s="1" t="s">
        <v>2188</v>
      </c>
      <c r="C1046" s="1" t="s">
        <v>2153</v>
      </c>
      <c r="D1046" s="1" t="s">
        <v>2154</v>
      </c>
      <c r="E1046" s="1" t="s">
        <v>2189</v>
      </c>
      <c r="F1046" s="1" t="str">
        <f>HYPERLINK("https://talan.bank.gov.ua/get-user-certificate/J5325EvRLlcAt2eq9Gga","Завантажити сертифікат")</f>
        <v>Завантажити сертифікат</v>
      </c>
    </row>
    <row r="1047" spans="1:6" x14ac:dyDescent="0.3">
      <c r="A1047" s="2">
        <v>1046</v>
      </c>
      <c r="B1047" s="1" t="s">
        <v>2190</v>
      </c>
      <c r="C1047" s="1" t="s">
        <v>2153</v>
      </c>
      <c r="D1047" s="1" t="s">
        <v>2154</v>
      </c>
      <c r="E1047" s="1" t="s">
        <v>2191</v>
      </c>
      <c r="F1047" s="1" t="str">
        <f>HYPERLINK("https://talan.bank.gov.ua/get-user-certificate/J5325GTaial3hhbGVDQj","Завантажити сертифікат")</f>
        <v>Завантажити сертифікат</v>
      </c>
    </row>
    <row r="1048" spans="1:6" x14ac:dyDescent="0.3">
      <c r="A1048" s="2">
        <v>1047</v>
      </c>
      <c r="B1048" s="1" t="s">
        <v>2192</v>
      </c>
      <c r="C1048" s="1" t="s">
        <v>2153</v>
      </c>
      <c r="D1048" s="1" t="s">
        <v>2154</v>
      </c>
      <c r="E1048" s="1" t="s">
        <v>2193</v>
      </c>
      <c r="F1048" s="1" t="str">
        <f>HYPERLINK("https://talan.bank.gov.ua/get-user-certificate/J5325AVvyqmN5R21o1Rt","Завантажити сертифікат")</f>
        <v>Завантажити сертифікат</v>
      </c>
    </row>
    <row r="1049" spans="1:6" x14ac:dyDescent="0.3">
      <c r="A1049" s="2">
        <v>1048</v>
      </c>
      <c r="B1049" s="1" t="s">
        <v>2194</v>
      </c>
      <c r="C1049" s="1" t="s">
        <v>2153</v>
      </c>
      <c r="D1049" s="1" t="s">
        <v>2154</v>
      </c>
      <c r="E1049" s="1" t="s">
        <v>2195</v>
      </c>
      <c r="F1049" s="1" t="str">
        <f>HYPERLINK("https://talan.bank.gov.ua/get-user-certificate/J5325eBkp7UrDSbin4Ic","Завантажити сертифікат")</f>
        <v>Завантажити сертифікат</v>
      </c>
    </row>
    <row r="1050" spans="1:6" x14ac:dyDescent="0.3">
      <c r="A1050" s="2">
        <v>1049</v>
      </c>
      <c r="B1050" s="1" t="s">
        <v>2196</v>
      </c>
      <c r="C1050" s="1" t="s">
        <v>2153</v>
      </c>
      <c r="D1050" s="1" t="s">
        <v>2154</v>
      </c>
      <c r="E1050" s="1" t="s">
        <v>2197</v>
      </c>
      <c r="F1050" s="1" t="str">
        <f>HYPERLINK("https://talan.bank.gov.ua/get-user-certificate/J53255a-aUoTMAjay7oi","Завантажити сертифікат")</f>
        <v>Завантажити сертифікат</v>
      </c>
    </row>
    <row r="1051" spans="1:6" x14ac:dyDescent="0.3">
      <c r="A1051" s="2">
        <v>1050</v>
      </c>
      <c r="B1051" s="1" t="s">
        <v>2198</v>
      </c>
      <c r="C1051" s="1" t="s">
        <v>2153</v>
      </c>
      <c r="D1051" s="1" t="s">
        <v>2154</v>
      </c>
      <c r="E1051" s="1" t="s">
        <v>2199</v>
      </c>
      <c r="F1051" s="1" t="str">
        <f>HYPERLINK("https://talan.bank.gov.ua/get-user-certificate/J53258TwBdSl1QsaaH7O","Завантажити сертифікат")</f>
        <v>Завантажити сертифікат</v>
      </c>
    </row>
    <row r="1052" spans="1:6" x14ac:dyDescent="0.3">
      <c r="A1052" s="2">
        <v>1051</v>
      </c>
      <c r="B1052" s="1" t="s">
        <v>2200</v>
      </c>
      <c r="C1052" s="1" t="s">
        <v>2153</v>
      </c>
      <c r="D1052" s="1" t="s">
        <v>2154</v>
      </c>
      <c r="E1052" s="1" t="s">
        <v>2201</v>
      </c>
      <c r="F1052" s="1" t="str">
        <f>HYPERLINK("https://talan.bank.gov.ua/get-user-certificate/J5325rUQeg5pw5BuQQTG","Завантажити сертифікат")</f>
        <v>Завантажити сертифікат</v>
      </c>
    </row>
    <row r="1053" spans="1:6" x14ac:dyDescent="0.3">
      <c r="A1053" s="2">
        <v>1052</v>
      </c>
      <c r="B1053" s="1" t="s">
        <v>2202</v>
      </c>
      <c r="C1053" s="1" t="s">
        <v>2153</v>
      </c>
      <c r="D1053" s="1" t="s">
        <v>2154</v>
      </c>
      <c r="E1053" s="1" t="s">
        <v>2203</v>
      </c>
      <c r="F1053" s="1" t="str">
        <f>HYPERLINK("https://talan.bank.gov.ua/get-user-certificate/J5325Z93CpyV8Y4gpIdi","Завантажити сертифікат")</f>
        <v>Завантажити сертифікат</v>
      </c>
    </row>
    <row r="1054" spans="1:6" x14ac:dyDescent="0.3">
      <c r="A1054" s="2">
        <v>1053</v>
      </c>
      <c r="B1054" s="1" t="s">
        <v>2204</v>
      </c>
      <c r="C1054" s="1" t="s">
        <v>2153</v>
      </c>
      <c r="D1054" s="1" t="s">
        <v>2154</v>
      </c>
      <c r="E1054" s="1" t="s">
        <v>2205</v>
      </c>
      <c r="F1054" s="1" t="str">
        <f>HYPERLINK("https://talan.bank.gov.ua/get-user-certificate/J5325hWLQmjg7ai9slZz","Завантажити сертифікат")</f>
        <v>Завантажити сертифікат</v>
      </c>
    </row>
    <row r="1055" spans="1:6" x14ac:dyDescent="0.3">
      <c r="A1055" s="2">
        <v>1054</v>
      </c>
      <c r="B1055" s="1" t="s">
        <v>2206</v>
      </c>
      <c r="C1055" s="1" t="s">
        <v>2153</v>
      </c>
      <c r="D1055" s="1" t="s">
        <v>2154</v>
      </c>
      <c r="E1055" s="1" t="s">
        <v>2207</v>
      </c>
      <c r="F1055" s="1" t="str">
        <f>HYPERLINK("https://talan.bank.gov.ua/get-user-certificate/J5325zjIkmjwm_Kaae5N","Завантажити сертифікат")</f>
        <v>Завантажити сертифікат</v>
      </c>
    </row>
    <row r="1056" spans="1:6" x14ac:dyDescent="0.3">
      <c r="A1056" s="2">
        <v>1055</v>
      </c>
      <c r="B1056" s="1" t="s">
        <v>2208</v>
      </c>
      <c r="C1056" s="1" t="s">
        <v>2153</v>
      </c>
      <c r="D1056" s="1" t="s">
        <v>2154</v>
      </c>
      <c r="E1056" s="1" t="s">
        <v>2209</v>
      </c>
      <c r="F1056" s="1" t="str">
        <f>HYPERLINK("https://talan.bank.gov.ua/get-user-certificate/J5325nFK6H_CC2ICv8JL","Завантажити сертифікат")</f>
        <v>Завантажити сертифікат</v>
      </c>
    </row>
    <row r="1057" spans="1:6" ht="28.8" x14ac:dyDescent="0.3">
      <c r="A1057" s="2">
        <v>1056</v>
      </c>
      <c r="B1057" s="1" t="s">
        <v>2210</v>
      </c>
      <c r="C1057" s="1" t="s">
        <v>2153</v>
      </c>
      <c r="D1057" s="1" t="s">
        <v>2154</v>
      </c>
      <c r="E1057" s="1" t="s">
        <v>2211</v>
      </c>
      <c r="F1057" s="1" t="str">
        <f>HYPERLINK("https://talan.bank.gov.ua/get-user-certificate/J5325TBjXtf2ad2x1jkE","Завантажити сертифікат")</f>
        <v>Завантажити сертифікат</v>
      </c>
    </row>
    <row r="1058" spans="1:6" x14ac:dyDescent="0.3">
      <c r="A1058" s="2">
        <v>1057</v>
      </c>
      <c r="B1058" s="1" t="s">
        <v>2212</v>
      </c>
      <c r="C1058" s="1" t="s">
        <v>2153</v>
      </c>
      <c r="D1058" s="1" t="s">
        <v>2154</v>
      </c>
      <c r="E1058" s="1" t="s">
        <v>2213</v>
      </c>
      <c r="F1058" s="1" t="str">
        <f>HYPERLINK("https://talan.bank.gov.ua/get-user-certificate/J5325CeJxsuryJd5_h2O","Завантажити сертифікат")</f>
        <v>Завантажити сертифікат</v>
      </c>
    </row>
    <row r="1059" spans="1:6" x14ac:dyDescent="0.3">
      <c r="A1059" s="2">
        <v>1058</v>
      </c>
      <c r="B1059" s="1" t="s">
        <v>2214</v>
      </c>
      <c r="C1059" s="1" t="s">
        <v>2153</v>
      </c>
      <c r="D1059" s="1" t="s">
        <v>2154</v>
      </c>
      <c r="E1059" s="1" t="s">
        <v>2215</v>
      </c>
      <c r="F1059" s="1" t="str">
        <f>HYPERLINK("https://talan.bank.gov.ua/get-user-certificate/J5325gp-vvWILpG8R4s4","Завантажити сертифікат")</f>
        <v>Завантажити сертифікат</v>
      </c>
    </row>
    <row r="1060" spans="1:6" x14ac:dyDescent="0.3">
      <c r="A1060" s="2">
        <v>1059</v>
      </c>
      <c r="B1060" s="1" t="s">
        <v>2216</v>
      </c>
      <c r="C1060" s="1" t="s">
        <v>2153</v>
      </c>
      <c r="D1060" s="1" t="s">
        <v>2154</v>
      </c>
      <c r="E1060" s="1" t="s">
        <v>2217</v>
      </c>
      <c r="F1060" s="1" t="str">
        <f>HYPERLINK("https://talan.bank.gov.ua/get-user-certificate/J5325EZhKvlJ5-_bLX1M","Завантажити сертифікат")</f>
        <v>Завантажити сертифікат</v>
      </c>
    </row>
    <row r="1061" spans="1:6" ht="28.8" x14ac:dyDescent="0.3">
      <c r="A1061" s="2">
        <v>1060</v>
      </c>
      <c r="B1061" s="1" t="s">
        <v>2218</v>
      </c>
      <c r="C1061" s="1" t="s">
        <v>2219</v>
      </c>
      <c r="D1061" s="1" t="s">
        <v>2220</v>
      </c>
      <c r="E1061" s="1" t="s">
        <v>2221</v>
      </c>
      <c r="F1061" s="1" t="str">
        <f>HYPERLINK("https://talan.bank.gov.ua/get-user-certificate/J5325Hec0Q87bfBmIl9Z","Завантажити сертифікат")</f>
        <v>Завантажити сертифікат</v>
      </c>
    </row>
    <row r="1062" spans="1:6" ht="28.8" x14ac:dyDescent="0.3">
      <c r="A1062" s="2">
        <v>1061</v>
      </c>
      <c r="B1062" s="1" t="s">
        <v>2222</v>
      </c>
      <c r="C1062" s="1" t="s">
        <v>2219</v>
      </c>
      <c r="D1062" s="1" t="s">
        <v>2220</v>
      </c>
      <c r="E1062" s="1" t="s">
        <v>2223</v>
      </c>
      <c r="F1062" s="1" t="str">
        <f>HYPERLINK("https://talan.bank.gov.ua/get-user-certificate/J5325YxyS3EpivsfsM4_","Завантажити сертифікат")</f>
        <v>Завантажити сертифікат</v>
      </c>
    </row>
    <row r="1063" spans="1:6" ht="28.8" x14ac:dyDescent="0.3">
      <c r="A1063" s="2">
        <v>1062</v>
      </c>
      <c r="B1063" s="1" t="s">
        <v>2224</v>
      </c>
      <c r="C1063" s="1" t="s">
        <v>2219</v>
      </c>
      <c r="D1063" s="1" t="s">
        <v>2220</v>
      </c>
      <c r="E1063" s="1" t="s">
        <v>2225</v>
      </c>
      <c r="F1063" s="1" t="str">
        <f>HYPERLINK("https://talan.bank.gov.ua/get-user-certificate/J5325pvqgM1nQHsgUTdC","Завантажити сертифікат")</f>
        <v>Завантажити сертифікат</v>
      </c>
    </row>
    <row r="1064" spans="1:6" ht="28.8" x14ac:dyDescent="0.3">
      <c r="A1064" s="2">
        <v>1063</v>
      </c>
      <c r="B1064" s="1" t="s">
        <v>2226</v>
      </c>
      <c r="C1064" s="1" t="s">
        <v>2219</v>
      </c>
      <c r="D1064" s="1" t="s">
        <v>2220</v>
      </c>
      <c r="E1064" s="1" t="s">
        <v>2227</v>
      </c>
      <c r="F1064" s="1" t="str">
        <f>HYPERLINK("https://talan.bank.gov.ua/get-user-certificate/J5325Cd3h3_csq2ARjP7","Завантажити сертифікат")</f>
        <v>Завантажити сертифікат</v>
      </c>
    </row>
    <row r="1065" spans="1:6" ht="28.8" x14ac:dyDescent="0.3">
      <c r="A1065" s="2">
        <v>1064</v>
      </c>
      <c r="B1065" s="1" t="s">
        <v>2228</v>
      </c>
      <c r="C1065" s="1" t="s">
        <v>2219</v>
      </c>
      <c r="D1065" s="1" t="s">
        <v>2220</v>
      </c>
      <c r="E1065" s="1" t="s">
        <v>2229</v>
      </c>
      <c r="F1065" s="1" t="str">
        <f>HYPERLINK("https://talan.bank.gov.ua/get-user-certificate/J5325anovN4g2ikeP9r0","Завантажити сертифікат")</f>
        <v>Завантажити сертифікат</v>
      </c>
    </row>
    <row r="1066" spans="1:6" ht="28.8" x14ac:dyDescent="0.3">
      <c r="A1066" s="2">
        <v>1065</v>
      </c>
      <c r="B1066" s="1" t="s">
        <v>2230</v>
      </c>
      <c r="C1066" s="1" t="s">
        <v>2219</v>
      </c>
      <c r="D1066" s="1" t="s">
        <v>2220</v>
      </c>
      <c r="E1066" s="1" t="s">
        <v>2231</v>
      </c>
      <c r="F1066" s="1" t="str">
        <f>HYPERLINK("https://talan.bank.gov.ua/get-user-certificate/J5325rw-ifYeKe1uR3m4","Завантажити сертифікат")</f>
        <v>Завантажити сертифікат</v>
      </c>
    </row>
    <row r="1067" spans="1:6" ht="28.8" x14ac:dyDescent="0.3">
      <c r="A1067" s="2">
        <v>1066</v>
      </c>
      <c r="B1067" s="1" t="s">
        <v>2232</v>
      </c>
      <c r="C1067" s="1" t="s">
        <v>2233</v>
      </c>
      <c r="D1067" s="1" t="s">
        <v>2234</v>
      </c>
      <c r="E1067" s="1" t="s">
        <v>2235</v>
      </c>
      <c r="F1067" s="1" t="str">
        <f>HYPERLINK("https://talan.bank.gov.ua/get-user-certificate/J5325Dc81AaN00kKC0_o","Завантажити сертифікат")</f>
        <v>Завантажити сертифікат</v>
      </c>
    </row>
    <row r="1068" spans="1:6" ht="28.8" x14ac:dyDescent="0.3">
      <c r="A1068" s="2">
        <v>1067</v>
      </c>
      <c r="B1068" s="1" t="s">
        <v>2236</v>
      </c>
      <c r="C1068" s="1" t="s">
        <v>2233</v>
      </c>
      <c r="D1068" s="1" t="s">
        <v>2234</v>
      </c>
      <c r="E1068" s="1" t="s">
        <v>2237</v>
      </c>
      <c r="F1068" s="1" t="str">
        <f>HYPERLINK("https://talan.bank.gov.ua/get-user-certificate/J5325Eeftn-Kl9LC-Rdf","Завантажити сертифікат")</f>
        <v>Завантажити сертифікат</v>
      </c>
    </row>
    <row r="1069" spans="1:6" ht="28.8" x14ac:dyDescent="0.3">
      <c r="A1069" s="2">
        <v>1068</v>
      </c>
      <c r="B1069" s="1" t="s">
        <v>2238</v>
      </c>
      <c r="C1069" s="1" t="s">
        <v>2233</v>
      </c>
      <c r="D1069" s="1" t="s">
        <v>2234</v>
      </c>
      <c r="E1069" s="1" t="s">
        <v>2239</v>
      </c>
      <c r="F1069" s="1" t="str">
        <f>HYPERLINK("https://talan.bank.gov.ua/get-user-certificate/J5325JeQgpxvf4SQ9lwR","Завантажити сертифікат")</f>
        <v>Завантажити сертифікат</v>
      </c>
    </row>
    <row r="1070" spans="1:6" ht="28.8" x14ac:dyDescent="0.3">
      <c r="A1070" s="2">
        <v>1069</v>
      </c>
      <c r="B1070" s="1" t="s">
        <v>2240</v>
      </c>
      <c r="C1070" s="1" t="s">
        <v>2233</v>
      </c>
      <c r="D1070" s="1" t="s">
        <v>2234</v>
      </c>
      <c r="E1070" s="1" t="s">
        <v>2241</v>
      </c>
      <c r="F1070" s="1" t="str">
        <f>HYPERLINK("https://talan.bank.gov.ua/get-user-certificate/J53251CoGdgkk38sxoes","Завантажити сертифікат")</f>
        <v>Завантажити сертифікат</v>
      </c>
    </row>
    <row r="1071" spans="1:6" ht="28.8" x14ac:dyDescent="0.3">
      <c r="A1071" s="2">
        <v>1070</v>
      </c>
      <c r="B1071" s="1" t="s">
        <v>2242</v>
      </c>
      <c r="C1071" s="1" t="s">
        <v>2233</v>
      </c>
      <c r="D1071" s="1" t="s">
        <v>2234</v>
      </c>
      <c r="E1071" s="1" t="s">
        <v>2243</v>
      </c>
      <c r="F1071" s="1" t="str">
        <f>HYPERLINK("https://talan.bank.gov.ua/get-user-certificate/J5325Dx971zNwCp2YJTV","Завантажити сертифікат")</f>
        <v>Завантажити сертифікат</v>
      </c>
    </row>
    <row r="1072" spans="1:6" ht="28.8" x14ac:dyDescent="0.3">
      <c r="A1072" s="2">
        <v>1071</v>
      </c>
      <c r="B1072" s="1" t="s">
        <v>2244</v>
      </c>
      <c r="C1072" s="1" t="s">
        <v>2245</v>
      </c>
      <c r="D1072" s="1" t="s">
        <v>2246</v>
      </c>
      <c r="E1072" s="1" t="s">
        <v>2247</v>
      </c>
      <c r="F1072" s="1" t="str">
        <f>HYPERLINK("https://talan.bank.gov.ua/get-user-certificate/J5325uEWFgrzyacY_jfI","Завантажити сертифікат")</f>
        <v>Завантажити сертифікат</v>
      </c>
    </row>
    <row r="1073" spans="1:6" ht="28.8" x14ac:dyDescent="0.3">
      <c r="A1073" s="2">
        <v>1072</v>
      </c>
      <c r="B1073" s="1" t="s">
        <v>2248</v>
      </c>
      <c r="C1073" s="1" t="s">
        <v>2245</v>
      </c>
      <c r="D1073" s="1" t="s">
        <v>2246</v>
      </c>
      <c r="E1073" s="1" t="s">
        <v>2249</v>
      </c>
      <c r="F1073" s="1" t="str">
        <f>HYPERLINK("https://talan.bank.gov.ua/get-user-certificate/J5325_FCksz47mlIceYB","Завантажити сертифікат")</f>
        <v>Завантажити сертифікат</v>
      </c>
    </row>
    <row r="1074" spans="1:6" ht="28.8" x14ac:dyDescent="0.3">
      <c r="A1074" s="2">
        <v>1073</v>
      </c>
      <c r="B1074" s="1" t="s">
        <v>2250</v>
      </c>
      <c r="C1074" s="1" t="s">
        <v>2245</v>
      </c>
      <c r="D1074" s="1" t="s">
        <v>2246</v>
      </c>
      <c r="E1074" s="1" t="s">
        <v>2251</v>
      </c>
      <c r="F1074" s="1" t="str">
        <f>HYPERLINK("https://talan.bank.gov.ua/get-user-certificate/J5325GPC0k7LaCgfZWGc","Завантажити сертифікат")</f>
        <v>Завантажити сертифікат</v>
      </c>
    </row>
    <row r="1075" spans="1:6" ht="28.8" x14ac:dyDescent="0.3">
      <c r="A1075" s="2">
        <v>1074</v>
      </c>
      <c r="B1075" s="1" t="s">
        <v>2252</v>
      </c>
      <c r="C1075" s="1" t="s">
        <v>2245</v>
      </c>
      <c r="D1075" s="1" t="s">
        <v>2246</v>
      </c>
      <c r="E1075" s="1" t="s">
        <v>2253</v>
      </c>
      <c r="F1075" s="1" t="str">
        <f>HYPERLINK("https://talan.bank.gov.ua/get-user-certificate/J5325kTavUU70HnRnGQz","Завантажити сертифікат")</f>
        <v>Завантажити сертифікат</v>
      </c>
    </row>
    <row r="1076" spans="1:6" ht="28.8" x14ac:dyDescent="0.3">
      <c r="A1076" s="2">
        <v>1075</v>
      </c>
      <c r="B1076" s="1" t="s">
        <v>2254</v>
      </c>
      <c r="C1076" s="1" t="s">
        <v>2245</v>
      </c>
      <c r="D1076" s="1" t="s">
        <v>2246</v>
      </c>
      <c r="E1076" s="1" t="s">
        <v>2255</v>
      </c>
      <c r="F1076" s="1" t="str">
        <f>HYPERLINK("https://talan.bank.gov.ua/get-user-certificate/J5325szFNay5g77b437e","Завантажити сертифікат")</f>
        <v>Завантажити сертифікат</v>
      </c>
    </row>
    <row r="1077" spans="1:6" ht="28.8" x14ac:dyDescent="0.3">
      <c r="A1077" s="2">
        <v>1076</v>
      </c>
      <c r="B1077" s="1" t="s">
        <v>2256</v>
      </c>
      <c r="C1077" s="1" t="s">
        <v>2245</v>
      </c>
      <c r="D1077" s="1" t="s">
        <v>2246</v>
      </c>
      <c r="E1077" s="1" t="s">
        <v>2257</v>
      </c>
      <c r="F1077" s="1" t="str">
        <f>HYPERLINK("https://talan.bank.gov.ua/get-user-certificate/J532577dXcF71UOShj_l","Завантажити сертифікат")</f>
        <v>Завантажити сертифікат</v>
      </c>
    </row>
    <row r="1078" spans="1:6" ht="28.8" x14ac:dyDescent="0.3">
      <c r="A1078" s="2">
        <v>1077</v>
      </c>
      <c r="B1078" s="1" t="s">
        <v>2258</v>
      </c>
      <c r="C1078" s="1" t="s">
        <v>2245</v>
      </c>
      <c r="D1078" s="1" t="s">
        <v>2246</v>
      </c>
      <c r="E1078" s="1" t="s">
        <v>2259</v>
      </c>
      <c r="F1078" s="1" t="str">
        <f>HYPERLINK("https://talan.bank.gov.ua/get-user-certificate/J53253A3gxpKT9oUq5bj","Завантажити сертифікат")</f>
        <v>Завантажити сертифікат</v>
      </c>
    </row>
    <row r="1079" spans="1:6" ht="28.8" x14ac:dyDescent="0.3">
      <c r="A1079" s="2">
        <v>1078</v>
      </c>
      <c r="B1079" s="1" t="s">
        <v>2260</v>
      </c>
      <c r="C1079" s="1" t="s">
        <v>2245</v>
      </c>
      <c r="D1079" s="1" t="s">
        <v>2246</v>
      </c>
      <c r="E1079" s="1" t="s">
        <v>2261</v>
      </c>
      <c r="F1079" s="1" t="str">
        <f>HYPERLINK("https://talan.bank.gov.ua/get-user-certificate/J5325cPV61ChwwUnTjKU","Завантажити сертифікат")</f>
        <v>Завантажити сертифікат</v>
      </c>
    </row>
    <row r="1080" spans="1:6" ht="28.8" x14ac:dyDescent="0.3">
      <c r="A1080" s="2">
        <v>1079</v>
      </c>
      <c r="B1080" s="1" t="s">
        <v>2262</v>
      </c>
      <c r="C1080" s="1" t="s">
        <v>2245</v>
      </c>
      <c r="D1080" s="1" t="s">
        <v>2246</v>
      </c>
      <c r="E1080" s="1" t="s">
        <v>2263</v>
      </c>
      <c r="F1080" s="1" t="str">
        <f>HYPERLINK("https://talan.bank.gov.ua/get-user-certificate/J53259WiMno9t85h1woc","Завантажити сертифікат")</f>
        <v>Завантажити сертифікат</v>
      </c>
    </row>
    <row r="1081" spans="1:6" ht="28.8" x14ac:dyDescent="0.3">
      <c r="A1081" s="2">
        <v>1080</v>
      </c>
      <c r="B1081" s="1" t="s">
        <v>2264</v>
      </c>
      <c r="C1081" s="1" t="s">
        <v>2245</v>
      </c>
      <c r="D1081" s="1" t="s">
        <v>2246</v>
      </c>
      <c r="E1081" s="1" t="s">
        <v>2265</v>
      </c>
      <c r="F1081" s="1" t="str">
        <f>HYPERLINK("https://talan.bank.gov.ua/get-user-certificate/J5325Bc4c-QfCJXGqtGX","Завантажити сертифікат")</f>
        <v>Завантажити сертифікат</v>
      </c>
    </row>
    <row r="1082" spans="1:6" ht="28.8" x14ac:dyDescent="0.3">
      <c r="A1082" s="2">
        <v>1081</v>
      </c>
      <c r="B1082" s="1" t="s">
        <v>2266</v>
      </c>
      <c r="C1082" s="1" t="s">
        <v>2267</v>
      </c>
      <c r="D1082" s="1" t="s">
        <v>2268</v>
      </c>
      <c r="E1082" s="1" t="s">
        <v>2269</v>
      </c>
      <c r="F1082" s="1" t="str">
        <f>HYPERLINK("https://talan.bank.gov.ua/get-user-certificate/J53250C0GBVghRugfvQ5","Завантажити сертифікат")</f>
        <v>Завантажити сертифікат</v>
      </c>
    </row>
    <row r="1083" spans="1:6" ht="28.8" x14ac:dyDescent="0.3">
      <c r="A1083" s="2">
        <v>1082</v>
      </c>
      <c r="B1083" s="1" t="s">
        <v>2270</v>
      </c>
      <c r="C1083" s="1" t="s">
        <v>2267</v>
      </c>
      <c r="D1083" s="1" t="s">
        <v>2268</v>
      </c>
      <c r="E1083" s="1" t="s">
        <v>2271</v>
      </c>
      <c r="F1083" s="1" t="str">
        <f>HYPERLINK("https://talan.bank.gov.ua/get-user-certificate/J5325lENocOgEmOJ6rSP","Завантажити сертифікат")</f>
        <v>Завантажити сертифікат</v>
      </c>
    </row>
    <row r="1084" spans="1:6" ht="28.8" x14ac:dyDescent="0.3">
      <c r="A1084" s="2">
        <v>1083</v>
      </c>
      <c r="B1084" s="1" t="s">
        <v>2272</v>
      </c>
      <c r="C1084" s="1" t="s">
        <v>2267</v>
      </c>
      <c r="D1084" s="1" t="s">
        <v>2268</v>
      </c>
      <c r="E1084" s="1" t="s">
        <v>2273</v>
      </c>
      <c r="F1084" s="1" t="str">
        <f>HYPERLINK("https://talan.bank.gov.ua/get-user-certificate/J5325gPkNdx_3CUC_KGX","Завантажити сертифікат")</f>
        <v>Завантажити сертифікат</v>
      </c>
    </row>
    <row r="1085" spans="1:6" ht="28.8" x14ac:dyDescent="0.3">
      <c r="A1085" s="2">
        <v>1084</v>
      </c>
      <c r="B1085" s="1" t="s">
        <v>2274</v>
      </c>
      <c r="C1085" s="1" t="s">
        <v>2267</v>
      </c>
      <c r="D1085" s="1" t="s">
        <v>2268</v>
      </c>
      <c r="E1085" s="1" t="s">
        <v>2275</v>
      </c>
      <c r="F1085" s="1" t="str">
        <f>HYPERLINK("https://talan.bank.gov.ua/get-user-certificate/J5325HMFRPl6k1Zqv10L","Завантажити сертифікат")</f>
        <v>Завантажити сертифікат</v>
      </c>
    </row>
    <row r="1086" spans="1:6" ht="28.8" x14ac:dyDescent="0.3">
      <c r="A1086" s="2">
        <v>1085</v>
      </c>
      <c r="B1086" s="1" t="s">
        <v>2276</v>
      </c>
      <c r="C1086" s="1" t="s">
        <v>2267</v>
      </c>
      <c r="D1086" s="1" t="s">
        <v>2268</v>
      </c>
      <c r="E1086" s="1" t="s">
        <v>2277</v>
      </c>
      <c r="F1086" s="1" t="str">
        <f>HYPERLINK("https://talan.bank.gov.ua/get-user-certificate/J5325moiaSF_jQYey92P","Завантажити сертифікат")</f>
        <v>Завантажити сертифікат</v>
      </c>
    </row>
    <row r="1087" spans="1:6" ht="28.8" x14ac:dyDescent="0.3">
      <c r="A1087" s="2">
        <v>1086</v>
      </c>
      <c r="B1087" s="1" t="s">
        <v>2278</v>
      </c>
      <c r="C1087" s="1" t="s">
        <v>2267</v>
      </c>
      <c r="D1087" s="1" t="s">
        <v>2268</v>
      </c>
      <c r="E1087" s="1" t="s">
        <v>2279</v>
      </c>
      <c r="F1087" s="1" t="str">
        <f>HYPERLINK("https://talan.bank.gov.ua/get-user-certificate/J5325y9mqIbaRv3vrlL1","Завантажити сертифікат")</f>
        <v>Завантажити сертифікат</v>
      </c>
    </row>
    <row r="1088" spans="1:6" ht="28.8" x14ac:dyDescent="0.3">
      <c r="A1088" s="2">
        <v>1087</v>
      </c>
      <c r="B1088" s="1" t="s">
        <v>2280</v>
      </c>
      <c r="C1088" s="1" t="s">
        <v>2267</v>
      </c>
      <c r="D1088" s="1" t="s">
        <v>2268</v>
      </c>
      <c r="E1088" s="1" t="s">
        <v>2281</v>
      </c>
      <c r="F1088" s="1" t="str">
        <f>HYPERLINK("https://talan.bank.gov.ua/get-user-certificate/J5325P8zs6BFifUFs9W7","Завантажити сертифікат")</f>
        <v>Завантажити сертифікат</v>
      </c>
    </row>
    <row r="1089" spans="1:6" ht="28.8" x14ac:dyDescent="0.3">
      <c r="A1089" s="2">
        <v>1088</v>
      </c>
      <c r="B1089" s="1" t="s">
        <v>2282</v>
      </c>
      <c r="C1089" s="1" t="s">
        <v>2267</v>
      </c>
      <c r="D1089" s="1" t="s">
        <v>2268</v>
      </c>
      <c r="E1089" s="1" t="s">
        <v>2283</v>
      </c>
      <c r="F1089" s="1" t="str">
        <f>HYPERLINK("https://talan.bank.gov.ua/get-user-certificate/J5325Eer9fwKZgpB5wAZ","Завантажити сертифікат")</f>
        <v>Завантажити сертифікат</v>
      </c>
    </row>
    <row r="1090" spans="1:6" ht="28.8" x14ac:dyDescent="0.3">
      <c r="A1090" s="2">
        <v>1089</v>
      </c>
      <c r="B1090" s="1" t="s">
        <v>2284</v>
      </c>
      <c r="C1090" s="1" t="s">
        <v>2267</v>
      </c>
      <c r="D1090" s="1" t="s">
        <v>2268</v>
      </c>
      <c r="E1090" s="1" t="s">
        <v>2285</v>
      </c>
      <c r="F1090" s="1" t="str">
        <f>HYPERLINK("https://talan.bank.gov.ua/get-user-certificate/J5325LRaB3YddErtzj5S","Завантажити сертифікат")</f>
        <v>Завантажити сертифікат</v>
      </c>
    </row>
    <row r="1091" spans="1:6" ht="28.8" x14ac:dyDescent="0.3">
      <c r="A1091" s="2">
        <v>1090</v>
      </c>
      <c r="B1091" s="1" t="s">
        <v>2286</v>
      </c>
      <c r="C1091" s="1" t="s">
        <v>2267</v>
      </c>
      <c r="D1091" s="1" t="s">
        <v>2268</v>
      </c>
      <c r="E1091" s="1" t="s">
        <v>2287</v>
      </c>
      <c r="F1091" s="1" t="str">
        <f>HYPERLINK("https://talan.bank.gov.ua/get-user-certificate/J5325n7MUVUTZBWrtNzd","Завантажити сертифікат")</f>
        <v>Завантажити сертифікат</v>
      </c>
    </row>
    <row r="1092" spans="1:6" ht="28.8" x14ac:dyDescent="0.3">
      <c r="A1092" s="2">
        <v>1091</v>
      </c>
      <c r="B1092" s="1" t="s">
        <v>2288</v>
      </c>
      <c r="C1092" s="1" t="s">
        <v>2267</v>
      </c>
      <c r="D1092" s="1" t="s">
        <v>2268</v>
      </c>
      <c r="E1092" s="1" t="s">
        <v>2289</v>
      </c>
      <c r="F1092" s="1" t="str">
        <f>HYPERLINK("https://talan.bank.gov.ua/get-user-certificate/J5325BtNd0nGNYPssxrO","Завантажити сертифікат")</f>
        <v>Завантажити сертифікат</v>
      </c>
    </row>
    <row r="1093" spans="1:6" ht="28.8" x14ac:dyDescent="0.3">
      <c r="A1093" s="2">
        <v>1092</v>
      </c>
      <c r="B1093" s="1" t="s">
        <v>2290</v>
      </c>
      <c r="C1093" s="1" t="s">
        <v>2267</v>
      </c>
      <c r="D1093" s="1" t="s">
        <v>2268</v>
      </c>
      <c r="E1093" s="1" t="s">
        <v>2291</v>
      </c>
      <c r="F1093" s="1" t="str">
        <f>HYPERLINK("https://talan.bank.gov.ua/get-user-certificate/J5325TLO2qKwLpOJ0_Vk","Завантажити сертифікат")</f>
        <v>Завантажити сертифікат</v>
      </c>
    </row>
    <row r="1094" spans="1:6" ht="28.8" x14ac:dyDescent="0.3">
      <c r="A1094" s="2">
        <v>1093</v>
      </c>
      <c r="B1094" s="1" t="s">
        <v>2292</v>
      </c>
      <c r="C1094" s="1" t="s">
        <v>2267</v>
      </c>
      <c r="D1094" s="1" t="s">
        <v>2268</v>
      </c>
      <c r="E1094" s="1" t="s">
        <v>2293</v>
      </c>
      <c r="F1094" s="1" t="str">
        <f>HYPERLINK("https://talan.bank.gov.ua/get-user-certificate/J53251kp4G3iDhGvYbzu","Завантажити сертифікат")</f>
        <v>Завантажити сертифікат</v>
      </c>
    </row>
    <row r="1095" spans="1:6" ht="28.8" x14ac:dyDescent="0.3">
      <c r="A1095" s="2">
        <v>1094</v>
      </c>
      <c r="B1095" s="1" t="s">
        <v>2294</v>
      </c>
      <c r="C1095" s="1" t="s">
        <v>2267</v>
      </c>
      <c r="D1095" s="1" t="s">
        <v>2268</v>
      </c>
      <c r="E1095" s="1" t="s">
        <v>2295</v>
      </c>
      <c r="F1095" s="1" t="str">
        <f>HYPERLINK("https://talan.bank.gov.ua/get-user-certificate/J5325-mUwItyxkvG1Jw8","Завантажити сертифікат")</f>
        <v>Завантажити сертифікат</v>
      </c>
    </row>
    <row r="1096" spans="1:6" ht="28.8" x14ac:dyDescent="0.3">
      <c r="A1096" s="2">
        <v>1095</v>
      </c>
      <c r="B1096" s="1" t="s">
        <v>2296</v>
      </c>
      <c r="C1096" s="1" t="s">
        <v>2267</v>
      </c>
      <c r="D1096" s="1" t="s">
        <v>2268</v>
      </c>
      <c r="E1096" s="1" t="s">
        <v>2297</v>
      </c>
      <c r="F1096" s="1" t="str">
        <f>HYPERLINK("https://talan.bank.gov.ua/get-user-certificate/J5325hoKPVyDhkFUTHHU","Завантажити сертифікат")</f>
        <v>Завантажити сертифікат</v>
      </c>
    </row>
    <row r="1097" spans="1:6" x14ac:dyDescent="0.3">
      <c r="A1097" s="2">
        <v>1096</v>
      </c>
      <c r="B1097" s="1" t="s">
        <v>2298</v>
      </c>
      <c r="C1097" s="1" t="s">
        <v>2299</v>
      </c>
      <c r="D1097" s="1" t="s">
        <v>2300</v>
      </c>
      <c r="E1097" s="1" t="s">
        <v>2301</v>
      </c>
      <c r="F1097" s="1" t="str">
        <f>HYPERLINK("https://talan.bank.gov.ua/get-user-certificate/J5325nEFNmG7olLzQ0pk","Завантажити сертифікат")</f>
        <v>Завантажити сертифікат</v>
      </c>
    </row>
    <row r="1098" spans="1:6" x14ac:dyDescent="0.3">
      <c r="A1098" s="2">
        <v>1097</v>
      </c>
      <c r="B1098" s="1" t="s">
        <v>2302</v>
      </c>
      <c r="C1098" s="1" t="s">
        <v>2299</v>
      </c>
      <c r="D1098" s="1" t="s">
        <v>2300</v>
      </c>
      <c r="E1098" s="1" t="s">
        <v>2303</v>
      </c>
      <c r="F1098" s="1" t="str">
        <f>HYPERLINK("https://talan.bank.gov.ua/get-user-certificate/J5325pOHvI2sQEmCnoF_","Завантажити сертифікат")</f>
        <v>Завантажити сертифікат</v>
      </c>
    </row>
    <row r="1099" spans="1:6" x14ac:dyDescent="0.3">
      <c r="A1099" s="2">
        <v>1098</v>
      </c>
      <c r="B1099" s="1" t="s">
        <v>2304</v>
      </c>
      <c r="C1099" s="1" t="s">
        <v>2299</v>
      </c>
      <c r="D1099" s="1" t="s">
        <v>2300</v>
      </c>
      <c r="E1099" s="1" t="s">
        <v>2305</v>
      </c>
      <c r="F1099" s="1" t="str">
        <f>HYPERLINK("https://talan.bank.gov.ua/get-user-certificate/J5325joDOfeHYBRllu_m","Завантажити сертифікат")</f>
        <v>Завантажити сертифікат</v>
      </c>
    </row>
    <row r="1100" spans="1:6" x14ac:dyDescent="0.3">
      <c r="A1100" s="2">
        <v>1099</v>
      </c>
      <c r="B1100" s="1" t="s">
        <v>2306</v>
      </c>
      <c r="C1100" s="1" t="s">
        <v>2299</v>
      </c>
      <c r="D1100" s="1" t="s">
        <v>2300</v>
      </c>
      <c r="E1100" s="1" t="s">
        <v>2307</v>
      </c>
      <c r="F1100" s="1" t="str">
        <f>HYPERLINK("https://talan.bank.gov.ua/get-user-certificate/J5325V2IZOO-gxGQL1sF","Завантажити сертифікат")</f>
        <v>Завантажити сертифікат</v>
      </c>
    </row>
    <row r="1101" spans="1:6" x14ac:dyDescent="0.3">
      <c r="A1101" s="2">
        <v>1100</v>
      </c>
      <c r="B1101" s="1" t="s">
        <v>2308</v>
      </c>
      <c r="C1101" s="1" t="s">
        <v>2299</v>
      </c>
      <c r="D1101" s="1" t="s">
        <v>2300</v>
      </c>
      <c r="E1101" s="1" t="s">
        <v>2309</v>
      </c>
      <c r="F1101" s="1" t="str">
        <f>HYPERLINK("https://talan.bank.gov.ua/get-user-certificate/J532580_xgRxQG76_TuA","Завантажити сертифікат")</f>
        <v>Завантажити сертифікат</v>
      </c>
    </row>
    <row r="1102" spans="1:6" x14ac:dyDescent="0.3">
      <c r="A1102" s="2">
        <v>1101</v>
      </c>
      <c r="B1102" s="1" t="s">
        <v>2310</v>
      </c>
      <c r="C1102" s="1" t="s">
        <v>2299</v>
      </c>
      <c r="D1102" s="1" t="s">
        <v>2300</v>
      </c>
      <c r="E1102" s="1" t="s">
        <v>2311</v>
      </c>
      <c r="F1102" s="1" t="str">
        <f>HYPERLINK("https://talan.bank.gov.ua/get-user-certificate/J53253Y_0gvbO51KlFMx","Завантажити сертифікат")</f>
        <v>Завантажити сертифікат</v>
      </c>
    </row>
    <row r="1103" spans="1:6" x14ac:dyDescent="0.3">
      <c r="A1103" s="2">
        <v>1102</v>
      </c>
      <c r="B1103" s="1" t="s">
        <v>2312</v>
      </c>
      <c r="C1103" s="1" t="s">
        <v>2299</v>
      </c>
      <c r="D1103" s="1" t="s">
        <v>2300</v>
      </c>
      <c r="E1103" s="1" t="s">
        <v>2313</v>
      </c>
      <c r="F1103" s="1" t="str">
        <f>HYPERLINK("https://talan.bank.gov.ua/get-user-certificate/J5325BIBth6qyqTqsZQv","Завантажити сертифікат")</f>
        <v>Завантажити сертифікат</v>
      </c>
    </row>
    <row r="1104" spans="1:6" x14ac:dyDescent="0.3">
      <c r="A1104" s="2">
        <v>1103</v>
      </c>
      <c r="B1104" s="1" t="s">
        <v>2314</v>
      </c>
      <c r="C1104" s="1" t="s">
        <v>2299</v>
      </c>
      <c r="D1104" s="1" t="s">
        <v>2300</v>
      </c>
      <c r="E1104" s="1" t="s">
        <v>2315</v>
      </c>
      <c r="F1104" s="1" t="str">
        <f>HYPERLINK("https://talan.bank.gov.ua/get-user-certificate/J53251Ww9j8-pBx7s98L","Завантажити сертифікат")</f>
        <v>Завантажити сертифікат</v>
      </c>
    </row>
    <row r="1105" spans="1:6" x14ac:dyDescent="0.3">
      <c r="A1105" s="2">
        <v>1104</v>
      </c>
      <c r="B1105" s="1" t="s">
        <v>2316</v>
      </c>
      <c r="C1105" s="1" t="s">
        <v>2299</v>
      </c>
      <c r="D1105" s="1" t="s">
        <v>2300</v>
      </c>
      <c r="E1105" s="1" t="s">
        <v>2317</v>
      </c>
      <c r="F1105" s="1" t="str">
        <f>HYPERLINK("https://talan.bank.gov.ua/get-user-certificate/J5325npAk-taB_bIirxi","Завантажити сертифікат")</f>
        <v>Завантажити сертифікат</v>
      </c>
    </row>
    <row r="1106" spans="1:6" x14ac:dyDescent="0.3">
      <c r="A1106" s="2">
        <v>1105</v>
      </c>
      <c r="B1106" s="1" t="s">
        <v>2318</v>
      </c>
      <c r="C1106" s="1" t="s">
        <v>2299</v>
      </c>
      <c r="D1106" s="1" t="s">
        <v>2300</v>
      </c>
      <c r="E1106" s="1" t="s">
        <v>2319</v>
      </c>
      <c r="F1106" s="1" t="str">
        <f>HYPERLINK("https://talan.bank.gov.ua/get-user-certificate/J5325SD9_iRHpkPlTsAA","Завантажити сертифікат")</f>
        <v>Завантажити сертифікат</v>
      </c>
    </row>
    <row r="1107" spans="1:6" x14ac:dyDescent="0.3">
      <c r="A1107" s="2">
        <v>1106</v>
      </c>
      <c r="B1107" s="1" t="s">
        <v>2320</v>
      </c>
      <c r="C1107" s="1" t="s">
        <v>2299</v>
      </c>
      <c r="D1107" s="1" t="s">
        <v>2300</v>
      </c>
      <c r="E1107" s="1" t="s">
        <v>2321</v>
      </c>
      <c r="F1107" s="1" t="str">
        <f>HYPERLINK("https://talan.bank.gov.ua/get-user-certificate/J5325EcLWsX6sFLRDuZj","Завантажити сертифікат")</f>
        <v>Завантажити сертифікат</v>
      </c>
    </row>
    <row r="1108" spans="1:6" x14ac:dyDescent="0.3">
      <c r="A1108" s="2">
        <v>1107</v>
      </c>
      <c r="B1108" s="1" t="s">
        <v>2322</v>
      </c>
      <c r="C1108" s="1" t="s">
        <v>2299</v>
      </c>
      <c r="D1108" s="1" t="s">
        <v>2300</v>
      </c>
      <c r="E1108" s="1" t="s">
        <v>2323</v>
      </c>
      <c r="F1108" s="1" t="str">
        <f>HYPERLINK("https://talan.bank.gov.ua/get-user-certificate/J53256ofasVN7frrl2Ug","Завантажити сертифікат")</f>
        <v>Завантажити сертифікат</v>
      </c>
    </row>
    <row r="1109" spans="1:6" x14ac:dyDescent="0.3">
      <c r="A1109" s="2">
        <v>1108</v>
      </c>
      <c r="B1109" s="1" t="s">
        <v>2324</v>
      </c>
      <c r="C1109" s="1" t="s">
        <v>2299</v>
      </c>
      <c r="D1109" s="1" t="s">
        <v>2300</v>
      </c>
      <c r="E1109" s="1" t="s">
        <v>2325</v>
      </c>
      <c r="F1109" s="1" t="str">
        <f>HYPERLINK("https://talan.bank.gov.ua/get-user-certificate/J5325pXtCn5QBhmb69L1","Завантажити сертифікат")</f>
        <v>Завантажити сертифікат</v>
      </c>
    </row>
    <row r="1110" spans="1:6" x14ac:dyDescent="0.3">
      <c r="A1110" s="2">
        <v>1109</v>
      </c>
      <c r="B1110" s="1" t="s">
        <v>2326</v>
      </c>
      <c r="C1110" s="1" t="s">
        <v>2299</v>
      </c>
      <c r="D1110" s="1" t="s">
        <v>2300</v>
      </c>
      <c r="E1110" s="1" t="s">
        <v>2327</v>
      </c>
      <c r="F1110" s="1" t="str">
        <f>HYPERLINK("https://talan.bank.gov.ua/get-user-certificate/J5325OLUDrjMAyUul-5j","Завантажити сертифікат")</f>
        <v>Завантажити сертифікат</v>
      </c>
    </row>
    <row r="1111" spans="1:6" x14ac:dyDescent="0.3">
      <c r="A1111" s="2">
        <v>1110</v>
      </c>
      <c r="B1111" s="1" t="s">
        <v>2328</v>
      </c>
      <c r="C1111" s="1" t="s">
        <v>2299</v>
      </c>
      <c r="D1111" s="1" t="s">
        <v>2300</v>
      </c>
      <c r="E1111" s="1" t="s">
        <v>2329</v>
      </c>
      <c r="F1111" s="1" t="str">
        <f>HYPERLINK("https://talan.bank.gov.ua/get-user-certificate/J53255InZW8STadv-nvx","Завантажити сертифікат")</f>
        <v>Завантажити сертифікат</v>
      </c>
    </row>
    <row r="1112" spans="1:6" x14ac:dyDescent="0.3">
      <c r="A1112" s="2">
        <v>1111</v>
      </c>
      <c r="B1112" s="1" t="s">
        <v>2330</v>
      </c>
      <c r="C1112" s="1" t="s">
        <v>2299</v>
      </c>
      <c r="D1112" s="1" t="s">
        <v>2300</v>
      </c>
      <c r="E1112" s="1" t="s">
        <v>2331</v>
      </c>
      <c r="F1112" s="1" t="str">
        <f>HYPERLINK("https://talan.bank.gov.ua/get-user-certificate/J5325MLnzDT7qbaAZKcO","Завантажити сертифікат")</f>
        <v>Завантажити сертифікат</v>
      </c>
    </row>
    <row r="1113" spans="1:6" x14ac:dyDescent="0.3">
      <c r="A1113" s="2">
        <v>1112</v>
      </c>
      <c r="B1113" s="1" t="s">
        <v>2332</v>
      </c>
      <c r="C1113" s="1" t="s">
        <v>2299</v>
      </c>
      <c r="D1113" s="1" t="s">
        <v>2300</v>
      </c>
      <c r="E1113" s="1" t="s">
        <v>2333</v>
      </c>
      <c r="F1113" s="1" t="str">
        <f>HYPERLINK("https://talan.bank.gov.ua/get-user-certificate/J5325BBTq2d3zPzuIJ3C","Завантажити сертифікат")</f>
        <v>Завантажити сертифікат</v>
      </c>
    </row>
    <row r="1114" spans="1:6" x14ac:dyDescent="0.3">
      <c r="A1114" s="2">
        <v>1113</v>
      </c>
      <c r="B1114" s="1" t="s">
        <v>2334</v>
      </c>
      <c r="C1114" s="1" t="s">
        <v>2299</v>
      </c>
      <c r="D1114" s="1" t="s">
        <v>2300</v>
      </c>
      <c r="E1114" s="1" t="s">
        <v>2335</v>
      </c>
      <c r="F1114" s="1" t="str">
        <f>HYPERLINK("https://talan.bank.gov.ua/get-user-certificate/J5325loiwEfq__jzZD6j","Завантажити сертифікат")</f>
        <v>Завантажити сертифікат</v>
      </c>
    </row>
    <row r="1115" spans="1:6" x14ac:dyDescent="0.3">
      <c r="A1115" s="2">
        <v>1114</v>
      </c>
      <c r="B1115" s="1" t="s">
        <v>2336</v>
      </c>
      <c r="C1115" s="1" t="s">
        <v>2299</v>
      </c>
      <c r="D1115" s="1" t="s">
        <v>2300</v>
      </c>
      <c r="E1115" s="1" t="s">
        <v>2337</v>
      </c>
      <c r="F1115" s="1" t="str">
        <f>HYPERLINK("https://talan.bank.gov.ua/get-user-certificate/J5325_VLjaoIlhVJb7Ob","Завантажити сертифікат")</f>
        <v>Завантажити сертифікат</v>
      </c>
    </row>
    <row r="1116" spans="1:6" x14ac:dyDescent="0.3">
      <c r="A1116" s="2">
        <v>1115</v>
      </c>
      <c r="B1116" s="1" t="s">
        <v>2338</v>
      </c>
      <c r="C1116" s="1" t="s">
        <v>2299</v>
      </c>
      <c r="D1116" s="1" t="s">
        <v>2300</v>
      </c>
      <c r="E1116" s="1" t="s">
        <v>2339</v>
      </c>
      <c r="F1116" s="1" t="str">
        <f>HYPERLINK("https://talan.bank.gov.ua/get-user-certificate/J5325QoU2_qoob3ft5_O","Завантажити сертифікат")</f>
        <v>Завантажити сертифікат</v>
      </c>
    </row>
    <row r="1117" spans="1:6" x14ac:dyDescent="0.3">
      <c r="A1117" s="2">
        <v>1116</v>
      </c>
      <c r="B1117" s="1" t="s">
        <v>2340</v>
      </c>
      <c r="C1117" s="1" t="s">
        <v>2299</v>
      </c>
      <c r="D1117" s="1" t="s">
        <v>2300</v>
      </c>
      <c r="E1117" s="1" t="s">
        <v>2341</v>
      </c>
      <c r="F1117" s="1" t="str">
        <f>HYPERLINK("https://talan.bank.gov.ua/get-user-certificate/J5325ypRpisO28NuuzHO","Завантажити сертифікат")</f>
        <v>Завантажити сертифікат</v>
      </c>
    </row>
    <row r="1118" spans="1:6" x14ac:dyDescent="0.3">
      <c r="A1118" s="2">
        <v>1117</v>
      </c>
      <c r="B1118" s="1" t="s">
        <v>2342</v>
      </c>
      <c r="C1118" s="1" t="s">
        <v>2299</v>
      </c>
      <c r="D1118" s="1" t="s">
        <v>2300</v>
      </c>
      <c r="E1118" s="1" t="s">
        <v>2343</v>
      </c>
      <c r="F1118" s="1" t="str">
        <f>HYPERLINK("https://talan.bank.gov.ua/get-user-certificate/J5325iaqmLYPN9dR867P","Завантажити сертифікат")</f>
        <v>Завантажити сертифікат</v>
      </c>
    </row>
    <row r="1119" spans="1:6" ht="28.8" x14ac:dyDescent="0.3">
      <c r="A1119" s="2">
        <v>1118</v>
      </c>
      <c r="B1119" s="1" t="s">
        <v>2344</v>
      </c>
      <c r="C1119" s="1" t="s">
        <v>2345</v>
      </c>
      <c r="D1119" s="1" t="s">
        <v>2346</v>
      </c>
      <c r="E1119" s="1" t="s">
        <v>2347</v>
      </c>
      <c r="F1119" s="1" t="str">
        <f>HYPERLINK("https://talan.bank.gov.ua/get-user-certificate/J5325awjK3cNTxamq-jK","Завантажити сертифікат")</f>
        <v>Завантажити сертифікат</v>
      </c>
    </row>
    <row r="1120" spans="1:6" ht="28.8" x14ac:dyDescent="0.3">
      <c r="A1120" s="2">
        <v>1119</v>
      </c>
      <c r="B1120" s="1" t="s">
        <v>2348</v>
      </c>
      <c r="C1120" s="1" t="s">
        <v>2345</v>
      </c>
      <c r="D1120" s="1" t="s">
        <v>2346</v>
      </c>
      <c r="E1120" s="1" t="s">
        <v>2349</v>
      </c>
      <c r="F1120" s="1" t="str">
        <f>HYPERLINK("https://talan.bank.gov.ua/get-user-certificate/J5325jqg0xqm3H4oD50c","Завантажити сертифікат")</f>
        <v>Завантажити сертифікат</v>
      </c>
    </row>
    <row r="1121" spans="1:6" ht="28.8" x14ac:dyDescent="0.3">
      <c r="A1121" s="2">
        <v>1120</v>
      </c>
      <c r="B1121" s="1" t="s">
        <v>2350</v>
      </c>
      <c r="C1121" s="1" t="s">
        <v>2345</v>
      </c>
      <c r="D1121" s="1" t="s">
        <v>2346</v>
      </c>
      <c r="E1121" s="1" t="s">
        <v>2351</v>
      </c>
      <c r="F1121" s="1" t="str">
        <f>HYPERLINK("https://talan.bank.gov.ua/get-user-certificate/J5325z-TjDhAmGsFiXEg","Завантажити сертифікат")</f>
        <v>Завантажити сертифікат</v>
      </c>
    </row>
    <row r="1122" spans="1:6" ht="28.8" x14ac:dyDescent="0.3">
      <c r="A1122" s="2">
        <v>1121</v>
      </c>
      <c r="B1122" s="1" t="s">
        <v>2352</v>
      </c>
      <c r="C1122" s="1" t="s">
        <v>2345</v>
      </c>
      <c r="D1122" s="1" t="s">
        <v>2346</v>
      </c>
      <c r="E1122" s="1" t="s">
        <v>2353</v>
      </c>
      <c r="F1122" s="1" t="str">
        <f>HYPERLINK("https://talan.bank.gov.ua/get-user-certificate/J5325JLcj9m8lKzYXDgD","Завантажити сертифікат")</f>
        <v>Завантажити сертифікат</v>
      </c>
    </row>
    <row r="1123" spans="1:6" x14ac:dyDescent="0.3">
      <c r="A1123" s="2">
        <v>1122</v>
      </c>
      <c r="B1123" s="1" t="s">
        <v>2354</v>
      </c>
      <c r="C1123" s="1" t="s">
        <v>2355</v>
      </c>
      <c r="D1123" s="1" t="s">
        <v>2356</v>
      </c>
      <c r="E1123" s="1" t="s">
        <v>2357</v>
      </c>
      <c r="F1123" s="1" t="str">
        <f>HYPERLINK("https://talan.bank.gov.ua/get-user-certificate/J5325bOxwOKZPjJgwlyq","Завантажити сертифікат")</f>
        <v>Завантажити сертифікат</v>
      </c>
    </row>
    <row r="1124" spans="1:6" x14ac:dyDescent="0.3">
      <c r="A1124" s="2">
        <v>1123</v>
      </c>
      <c r="B1124" s="1" t="s">
        <v>2358</v>
      </c>
      <c r="C1124" s="1" t="s">
        <v>2355</v>
      </c>
      <c r="D1124" s="1" t="s">
        <v>2356</v>
      </c>
      <c r="E1124" s="1" t="s">
        <v>2359</v>
      </c>
      <c r="F1124" s="1" t="str">
        <f>HYPERLINK("https://talan.bank.gov.ua/get-user-certificate/J53255xFuE2hpPJjUJhe","Завантажити сертифікат")</f>
        <v>Завантажити сертифікат</v>
      </c>
    </row>
    <row r="1125" spans="1:6" x14ac:dyDescent="0.3">
      <c r="A1125" s="2">
        <v>1124</v>
      </c>
      <c r="B1125" s="1" t="s">
        <v>2360</v>
      </c>
      <c r="C1125" s="1" t="s">
        <v>2355</v>
      </c>
      <c r="D1125" s="1" t="s">
        <v>2356</v>
      </c>
      <c r="E1125" s="1" t="s">
        <v>2361</v>
      </c>
      <c r="F1125" s="1" t="str">
        <f>HYPERLINK("https://talan.bank.gov.ua/get-user-certificate/J5325H2KkvQbfNs6qkeu","Завантажити сертифікат")</f>
        <v>Завантажити сертифікат</v>
      </c>
    </row>
    <row r="1126" spans="1:6" ht="28.8" x14ac:dyDescent="0.3">
      <c r="A1126" s="2">
        <v>1125</v>
      </c>
      <c r="B1126" s="1" t="s">
        <v>2362</v>
      </c>
      <c r="C1126" s="1" t="s">
        <v>2355</v>
      </c>
      <c r="D1126" s="1" t="s">
        <v>2356</v>
      </c>
      <c r="E1126" s="1" t="s">
        <v>2363</v>
      </c>
      <c r="F1126" s="1" t="str">
        <f>HYPERLINK("https://talan.bank.gov.ua/get-user-certificate/J5325klYuIcSDVbXycp0","Завантажити сертифікат")</f>
        <v>Завантажити сертифікат</v>
      </c>
    </row>
    <row r="1127" spans="1:6" x14ac:dyDescent="0.3">
      <c r="A1127" s="2">
        <v>1126</v>
      </c>
      <c r="B1127" s="1" t="s">
        <v>2364</v>
      </c>
      <c r="C1127" s="1" t="s">
        <v>2355</v>
      </c>
      <c r="D1127" s="1" t="s">
        <v>2356</v>
      </c>
      <c r="E1127" s="1" t="s">
        <v>2365</v>
      </c>
      <c r="F1127" s="1" t="str">
        <f>HYPERLINK("https://talan.bank.gov.ua/get-user-certificate/J53254NmkpsdAuDmgoIS","Завантажити сертифікат")</f>
        <v>Завантажити сертифікат</v>
      </c>
    </row>
    <row r="1128" spans="1:6" x14ac:dyDescent="0.3">
      <c r="A1128" s="2">
        <v>1127</v>
      </c>
      <c r="B1128" s="1" t="s">
        <v>2366</v>
      </c>
      <c r="C1128" s="1" t="s">
        <v>2355</v>
      </c>
      <c r="D1128" s="1" t="s">
        <v>2356</v>
      </c>
      <c r="E1128" s="1" t="s">
        <v>2367</v>
      </c>
      <c r="F1128" s="1" t="str">
        <f>HYPERLINK("https://talan.bank.gov.ua/get-user-certificate/J5325QaMyNe_PygITwLr","Завантажити сертифікат")</f>
        <v>Завантажити сертифікат</v>
      </c>
    </row>
    <row r="1129" spans="1:6" x14ac:dyDescent="0.3">
      <c r="A1129" s="2">
        <v>1128</v>
      </c>
      <c r="B1129" s="1" t="s">
        <v>2368</v>
      </c>
      <c r="C1129" s="1" t="s">
        <v>2369</v>
      </c>
      <c r="D1129" s="1" t="s">
        <v>2370</v>
      </c>
      <c r="E1129" s="1" t="s">
        <v>2371</v>
      </c>
      <c r="F1129" s="1" t="str">
        <f>HYPERLINK("https://talan.bank.gov.ua/get-user-certificate/J5325N1IInmHuDQINKll","Завантажити сертифікат")</f>
        <v>Завантажити сертифікат</v>
      </c>
    </row>
    <row r="1130" spans="1:6" x14ac:dyDescent="0.3">
      <c r="A1130" s="2">
        <v>1129</v>
      </c>
      <c r="B1130" s="1" t="s">
        <v>2372</v>
      </c>
      <c r="C1130" s="1" t="s">
        <v>2369</v>
      </c>
      <c r="D1130" s="1" t="s">
        <v>2370</v>
      </c>
      <c r="E1130" s="1" t="s">
        <v>2373</v>
      </c>
      <c r="F1130" s="1" t="str">
        <f>HYPERLINK("https://talan.bank.gov.ua/get-user-certificate/J5325y3g-8ihWM1WT9wT","Завантажити сертифікат")</f>
        <v>Завантажити сертифікат</v>
      </c>
    </row>
    <row r="1131" spans="1:6" x14ac:dyDescent="0.3">
      <c r="A1131" s="2">
        <v>1130</v>
      </c>
      <c r="B1131" s="1" t="s">
        <v>2374</v>
      </c>
      <c r="C1131" s="1" t="s">
        <v>2369</v>
      </c>
      <c r="D1131" s="1" t="s">
        <v>2370</v>
      </c>
      <c r="E1131" s="1" t="s">
        <v>2375</v>
      </c>
      <c r="F1131" s="1" t="str">
        <f>HYPERLINK("https://talan.bank.gov.ua/get-user-certificate/J53259tC-yQHzRHRfq34","Завантажити сертифікат")</f>
        <v>Завантажити сертифікат</v>
      </c>
    </row>
    <row r="1132" spans="1:6" x14ac:dyDescent="0.3">
      <c r="A1132" s="2">
        <v>1131</v>
      </c>
      <c r="B1132" s="1" t="s">
        <v>2376</v>
      </c>
      <c r="C1132" s="1" t="s">
        <v>2369</v>
      </c>
      <c r="D1132" s="1" t="s">
        <v>2370</v>
      </c>
      <c r="E1132" s="1" t="s">
        <v>2377</v>
      </c>
      <c r="F1132" s="1" t="str">
        <f>HYPERLINK("https://talan.bank.gov.ua/get-user-certificate/J5325Akx7c4Z9jpC4n1A","Завантажити сертифікат")</f>
        <v>Завантажити сертифікат</v>
      </c>
    </row>
    <row r="1133" spans="1:6" x14ac:dyDescent="0.3">
      <c r="A1133" s="2">
        <v>1132</v>
      </c>
      <c r="B1133" s="1" t="s">
        <v>2378</v>
      </c>
      <c r="C1133" s="1" t="s">
        <v>2369</v>
      </c>
      <c r="D1133" s="1" t="s">
        <v>2370</v>
      </c>
      <c r="E1133" s="1" t="s">
        <v>2379</v>
      </c>
      <c r="F1133" s="1" t="str">
        <f>HYPERLINK("https://talan.bank.gov.ua/get-user-certificate/J53259VzTPfNLvLbHsam","Завантажити сертифікат")</f>
        <v>Завантажити сертифікат</v>
      </c>
    </row>
    <row r="1134" spans="1:6" x14ac:dyDescent="0.3">
      <c r="A1134" s="2">
        <v>1133</v>
      </c>
      <c r="B1134" t="s">
        <v>2380</v>
      </c>
      <c r="C1134" t="s">
        <v>2369</v>
      </c>
      <c r="D1134" t="s">
        <v>2370</v>
      </c>
      <c r="E1134" t="s">
        <v>2381</v>
      </c>
      <c r="F1134" t="str">
        <f>HYPERLINK("https://talan.bank.gov.ua/get-user-certificate/lHoZPeRGV7LtlY4vehCD","Завантажити сертифікат")</f>
        <v>Завантажити сертифікат</v>
      </c>
    </row>
    <row r="1135" spans="1:6" x14ac:dyDescent="0.3">
      <c r="A1135" s="2">
        <v>1134</v>
      </c>
      <c r="B1135" s="1" t="s">
        <v>2382</v>
      </c>
      <c r="C1135" s="1" t="s">
        <v>2369</v>
      </c>
      <c r="D1135" s="1" t="s">
        <v>2370</v>
      </c>
      <c r="E1135" s="1" t="s">
        <v>2383</v>
      </c>
      <c r="F1135" s="1" t="str">
        <f>HYPERLINK("https://talan.bank.gov.ua/get-user-certificate/J5325QvrbAlKj6ggF98F","Завантажити сертифікат")</f>
        <v>Завантажити сертифікат</v>
      </c>
    </row>
    <row r="1136" spans="1:6" x14ac:dyDescent="0.3">
      <c r="A1136" s="2">
        <v>1135</v>
      </c>
      <c r="B1136" s="1" t="s">
        <v>2384</v>
      </c>
      <c r="C1136" s="1" t="s">
        <v>2369</v>
      </c>
      <c r="D1136" s="1" t="s">
        <v>2370</v>
      </c>
      <c r="E1136" s="1" t="s">
        <v>2385</v>
      </c>
      <c r="F1136" s="1" t="str">
        <f>HYPERLINK("https://talan.bank.gov.ua/get-user-certificate/J5325d8NFSN75fUfdlWi","Завантажити сертифікат")</f>
        <v>Завантажити сертифікат</v>
      </c>
    </row>
    <row r="1137" spans="1:6" x14ac:dyDescent="0.3">
      <c r="A1137" s="2">
        <v>1136</v>
      </c>
      <c r="B1137" s="1" t="s">
        <v>2386</v>
      </c>
      <c r="C1137" s="1" t="s">
        <v>2369</v>
      </c>
      <c r="D1137" s="1" t="s">
        <v>2370</v>
      </c>
      <c r="E1137" s="1" t="s">
        <v>2387</v>
      </c>
      <c r="F1137" s="1" t="str">
        <f>HYPERLINK("https://talan.bank.gov.ua/get-user-certificate/J5325COdXhDRJwGJqihY","Завантажити сертифікат")</f>
        <v>Завантажити сертифікат</v>
      </c>
    </row>
    <row r="1138" spans="1:6" x14ac:dyDescent="0.3">
      <c r="A1138" s="2">
        <v>1137</v>
      </c>
      <c r="B1138" s="1" t="s">
        <v>2388</v>
      </c>
      <c r="C1138" s="1" t="s">
        <v>2369</v>
      </c>
      <c r="D1138" s="1" t="s">
        <v>2370</v>
      </c>
      <c r="E1138" s="1" t="s">
        <v>2389</v>
      </c>
      <c r="F1138" s="1" t="str">
        <f>HYPERLINK("https://talan.bank.gov.ua/get-user-certificate/J5325dtTtu2BHD9mSZCi","Завантажити сертифікат")</f>
        <v>Завантажити сертифікат</v>
      </c>
    </row>
    <row r="1139" spans="1:6" x14ac:dyDescent="0.3">
      <c r="A1139" s="2">
        <v>1138</v>
      </c>
      <c r="B1139" s="1" t="s">
        <v>2390</v>
      </c>
      <c r="C1139" s="1" t="s">
        <v>2369</v>
      </c>
      <c r="D1139" s="1" t="s">
        <v>2370</v>
      </c>
      <c r="E1139" s="1" t="s">
        <v>2391</v>
      </c>
      <c r="F1139" s="1" t="str">
        <f>HYPERLINK("https://talan.bank.gov.ua/get-user-certificate/J5325cFIlCcxh1gynxXg","Завантажити сертифікат")</f>
        <v>Завантажити сертифікат</v>
      </c>
    </row>
    <row r="1140" spans="1:6" x14ac:dyDescent="0.3">
      <c r="A1140" s="2">
        <v>1139</v>
      </c>
      <c r="B1140" s="1" t="s">
        <v>2392</v>
      </c>
      <c r="C1140" s="1" t="s">
        <v>2369</v>
      </c>
      <c r="D1140" s="1" t="s">
        <v>2370</v>
      </c>
      <c r="E1140" s="1" t="s">
        <v>2393</v>
      </c>
      <c r="F1140" s="1" t="str">
        <f>HYPERLINK("https://talan.bank.gov.ua/get-user-certificate/J53253Q44PBK9qY2ci5o","Завантажити сертифікат")</f>
        <v>Завантажити сертифікат</v>
      </c>
    </row>
    <row r="1141" spans="1:6" x14ac:dyDescent="0.3">
      <c r="A1141" s="2">
        <v>1140</v>
      </c>
      <c r="B1141" s="1" t="s">
        <v>2394</v>
      </c>
      <c r="C1141" s="1" t="s">
        <v>2395</v>
      </c>
      <c r="D1141" s="1" t="s">
        <v>2396</v>
      </c>
      <c r="E1141" s="1" t="s">
        <v>2397</v>
      </c>
      <c r="F1141" s="1" t="str">
        <f>HYPERLINK("https://talan.bank.gov.ua/get-user-certificate/J5325nvqF6aOUH5FamC4","Завантажити сертифікат")</f>
        <v>Завантажити сертифікат</v>
      </c>
    </row>
    <row r="1142" spans="1:6" x14ac:dyDescent="0.3">
      <c r="A1142" s="2">
        <v>1141</v>
      </c>
      <c r="B1142" s="1" t="s">
        <v>2398</v>
      </c>
      <c r="C1142" s="1" t="s">
        <v>2395</v>
      </c>
      <c r="D1142" s="1" t="s">
        <v>2396</v>
      </c>
      <c r="E1142" s="1" t="s">
        <v>2399</v>
      </c>
      <c r="F1142" s="1" t="str">
        <f>HYPERLINK("https://talan.bank.gov.ua/get-user-certificate/J5325IlLhJ9FMQX1DXTP","Завантажити сертифікат")</f>
        <v>Завантажити сертифікат</v>
      </c>
    </row>
    <row r="1143" spans="1:6" x14ac:dyDescent="0.3">
      <c r="A1143" s="2">
        <v>1142</v>
      </c>
      <c r="B1143" s="1" t="s">
        <v>2400</v>
      </c>
      <c r="C1143" s="1" t="s">
        <v>2395</v>
      </c>
      <c r="D1143" s="1" t="s">
        <v>2396</v>
      </c>
      <c r="E1143" s="1" t="s">
        <v>2401</v>
      </c>
      <c r="F1143" s="1" t="str">
        <f>HYPERLINK("https://talan.bank.gov.ua/get-user-certificate/J5325NPovCeV7YZ2bCu9","Завантажити сертифікат")</f>
        <v>Завантажити сертифікат</v>
      </c>
    </row>
    <row r="1144" spans="1:6" x14ac:dyDescent="0.3">
      <c r="A1144" s="2">
        <v>1143</v>
      </c>
      <c r="B1144" s="1" t="s">
        <v>2402</v>
      </c>
      <c r="C1144" s="1" t="s">
        <v>2395</v>
      </c>
      <c r="D1144" s="1" t="s">
        <v>2396</v>
      </c>
      <c r="E1144" s="1" t="s">
        <v>2403</v>
      </c>
      <c r="F1144" s="1" t="str">
        <f>HYPERLINK("https://talan.bank.gov.ua/get-user-certificate/J5325Mc6hG0VE2SCNMez","Завантажити сертифікат")</f>
        <v>Завантажити сертифікат</v>
      </c>
    </row>
    <row r="1145" spans="1:6" x14ac:dyDescent="0.3">
      <c r="A1145" s="2">
        <v>1144</v>
      </c>
      <c r="B1145" s="1" t="s">
        <v>2404</v>
      </c>
      <c r="C1145" s="1" t="s">
        <v>2395</v>
      </c>
      <c r="D1145" s="1" t="s">
        <v>2396</v>
      </c>
      <c r="E1145" s="1" t="s">
        <v>2405</v>
      </c>
      <c r="F1145" s="1" t="str">
        <f>HYPERLINK("https://talan.bank.gov.ua/get-user-certificate/J5325ID0LN3XELcVzWIo","Завантажити сертифікат")</f>
        <v>Завантажити сертифікат</v>
      </c>
    </row>
    <row r="1146" spans="1:6" x14ac:dyDescent="0.3">
      <c r="A1146" s="2">
        <v>1145</v>
      </c>
      <c r="B1146" s="1" t="s">
        <v>2406</v>
      </c>
      <c r="C1146" s="1" t="s">
        <v>2395</v>
      </c>
      <c r="D1146" s="1" t="s">
        <v>2396</v>
      </c>
      <c r="E1146" s="1" t="s">
        <v>2407</v>
      </c>
      <c r="F1146" s="1" t="str">
        <f>HYPERLINK("https://talan.bank.gov.ua/get-user-certificate/J5325xPf4wS-5ZYuVOhd","Завантажити сертифікат")</f>
        <v>Завантажити сертифікат</v>
      </c>
    </row>
    <row r="1147" spans="1:6" x14ac:dyDescent="0.3">
      <c r="A1147" s="2">
        <v>1146</v>
      </c>
      <c r="B1147" s="1" t="s">
        <v>2408</v>
      </c>
      <c r="C1147" s="1" t="s">
        <v>2395</v>
      </c>
      <c r="D1147" s="1" t="s">
        <v>2396</v>
      </c>
      <c r="E1147" s="1" t="s">
        <v>2409</v>
      </c>
      <c r="F1147" s="1" t="str">
        <f>HYPERLINK("https://talan.bank.gov.ua/get-user-certificate/J5325sKnBZqBV1W76Ti2","Завантажити сертифікат")</f>
        <v>Завантажити сертифікат</v>
      </c>
    </row>
    <row r="1148" spans="1:6" x14ac:dyDescent="0.3">
      <c r="A1148" s="2">
        <v>1147</v>
      </c>
      <c r="B1148" s="1" t="s">
        <v>2410</v>
      </c>
      <c r="C1148" s="1" t="s">
        <v>2395</v>
      </c>
      <c r="D1148" s="1" t="s">
        <v>2396</v>
      </c>
      <c r="E1148" s="1" t="s">
        <v>2411</v>
      </c>
      <c r="F1148" s="1" t="str">
        <f>HYPERLINK("https://talan.bank.gov.ua/get-user-certificate/J5325OMX9AuYVd8bVwmm","Завантажити сертифікат")</f>
        <v>Завантажити сертифікат</v>
      </c>
    </row>
    <row r="1149" spans="1:6" x14ac:dyDescent="0.3">
      <c r="A1149" s="2">
        <v>1148</v>
      </c>
      <c r="B1149" s="1" t="s">
        <v>2412</v>
      </c>
      <c r="C1149" s="1" t="s">
        <v>2395</v>
      </c>
      <c r="D1149" s="1" t="s">
        <v>2396</v>
      </c>
      <c r="E1149" s="1" t="s">
        <v>2413</v>
      </c>
      <c r="F1149" s="1" t="str">
        <f>HYPERLINK("https://talan.bank.gov.ua/get-user-certificate/J5325E1ztbOP4tobVsEv","Завантажити сертифікат")</f>
        <v>Завантажити сертифікат</v>
      </c>
    </row>
    <row r="1150" spans="1:6" x14ac:dyDescent="0.3">
      <c r="A1150" s="2">
        <v>1149</v>
      </c>
      <c r="B1150" s="1" t="s">
        <v>2414</v>
      </c>
      <c r="C1150" s="1" t="s">
        <v>2395</v>
      </c>
      <c r="D1150" s="1" t="s">
        <v>2396</v>
      </c>
      <c r="E1150" s="1" t="s">
        <v>2415</v>
      </c>
      <c r="F1150" s="1" t="str">
        <f>HYPERLINK("https://talan.bank.gov.ua/get-user-certificate/J532547-ITrJP-rea4QW","Завантажити сертифікат")</f>
        <v>Завантажити сертифікат</v>
      </c>
    </row>
    <row r="1151" spans="1:6" x14ac:dyDescent="0.3">
      <c r="A1151" s="2">
        <v>1150</v>
      </c>
      <c r="B1151" s="1" t="s">
        <v>2416</v>
      </c>
      <c r="C1151" s="1" t="s">
        <v>2395</v>
      </c>
      <c r="D1151" s="1" t="s">
        <v>2396</v>
      </c>
      <c r="E1151" s="1" t="s">
        <v>2417</v>
      </c>
      <c r="F1151" s="1" t="str">
        <f>HYPERLINK("https://talan.bank.gov.ua/get-user-certificate/J5325s8NOSX9BDT_ruG5","Завантажити сертифікат")</f>
        <v>Завантажити сертифікат</v>
      </c>
    </row>
    <row r="1152" spans="1:6" x14ac:dyDescent="0.3">
      <c r="A1152" s="2">
        <v>1151</v>
      </c>
      <c r="B1152" s="1" t="s">
        <v>2418</v>
      </c>
      <c r="C1152" s="1" t="s">
        <v>2395</v>
      </c>
      <c r="D1152" s="1" t="s">
        <v>2396</v>
      </c>
      <c r="E1152" s="1" t="s">
        <v>2419</v>
      </c>
      <c r="F1152" s="1" t="str">
        <f>HYPERLINK("https://talan.bank.gov.ua/get-user-certificate/J53253Vvwrwjtylrctn6","Завантажити сертифікат")</f>
        <v>Завантажити сертифікат</v>
      </c>
    </row>
    <row r="1153" spans="1:6" x14ac:dyDescent="0.3">
      <c r="A1153" s="2">
        <v>1152</v>
      </c>
      <c r="B1153" s="1" t="s">
        <v>2420</v>
      </c>
      <c r="C1153" s="1" t="s">
        <v>2395</v>
      </c>
      <c r="D1153" s="1" t="s">
        <v>2396</v>
      </c>
      <c r="E1153" s="1" t="s">
        <v>2421</v>
      </c>
      <c r="F1153" s="1" t="str">
        <f>HYPERLINK("https://talan.bank.gov.ua/get-user-certificate/J5325Cvc9iN_kW1gAbTr","Завантажити сертифікат")</f>
        <v>Завантажити сертифікат</v>
      </c>
    </row>
    <row r="1154" spans="1:6" x14ac:dyDescent="0.3">
      <c r="A1154" s="2">
        <v>1153</v>
      </c>
      <c r="B1154" s="1" t="s">
        <v>2422</v>
      </c>
      <c r="C1154" s="1" t="s">
        <v>2395</v>
      </c>
      <c r="D1154" s="1" t="s">
        <v>2396</v>
      </c>
      <c r="E1154" s="1" t="s">
        <v>2423</v>
      </c>
      <c r="F1154" s="1" t="str">
        <f>HYPERLINK("https://talan.bank.gov.ua/get-user-certificate/J5325RQ5uuAqMHavBlg8","Завантажити сертифікат")</f>
        <v>Завантажити сертифікат</v>
      </c>
    </row>
    <row r="1155" spans="1:6" x14ac:dyDescent="0.3">
      <c r="A1155" s="2">
        <v>1154</v>
      </c>
      <c r="B1155" s="1" t="s">
        <v>2424</v>
      </c>
      <c r="C1155" s="1" t="s">
        <v>2395</v>
      </c>
      <c r="D1155" s="1" t="s">
        <v>2396</v>
      </c>
      <c r="E1155" s="1" t="s">
        <v>2425</v>
      </c>
      <c r="F1155" s="1" t="str">
        <f>HYPERLINK("https://talan.bank.gov.ua/get-user-certificate/J532510LIZD9Ol36mkEZ","Завантажити сертифікат")</f>
        <v>Завантажити сертифікат</v>
      </c>
    </row>
    <row r="1156" spans="1:6" x14ac:dyDescent="0.3">
      <c r="A1156" s="2">
        <v>1155</v>
      </c>
      <c r="B1156" s="1" t="s">
        <v>2426</v>
      </c>
      <c r="C1156" s="1" t="s">
        <v>2395</v>
      </c>
      <c r="D1156" s="1" t="s">
        <v>2396</v>
      </c>
      <c r="E1156" s="1" t="s">
        <v>2427</v>
      </c>
      <c r="F1156" s="1" t="str">
        <f>HYPERLINK("https://talan.bank.gov.ua/get-user-certificate/J5325rgiokQkrK6WtRnR","Завантажити сертифікат")</f>
        <v>Завантажити сертифікат</v>
      </c>
    </row>
    <row r="1157" spans="1:6" x14ac:dyDescent="0.3">
      <c r="A1157" s="2">
        <v>1156</v>
      </c>
      <c r="B1157" s="1" t="s">
        <v>2428</v>
      </c>
      <c r="C1157" s="1" t="s">
        <v>2395</v>
      </c>
      <c r="D1157" s="1" t="s">
        <v>2396</v>
      </c>
      <c r="E1157" s="1" t="s">
        <v>2429</v>
      </c>
      <c r="F1157" s="1" t="str">
        <f>HYPERLINK("https://talan.bank.gov.ua/get-user-certificate/J53256pivR8bG35fu4xu","Завантажити сертифікат")</f>
        <v>Завантажити сертифікат</v>
      </c>
    </row>
    <row r="1158" spans="1:6" x14ac:dyDescent="0.3">
      <c r="A1158" s="2">
        <v>1157</v>
      </c>
      <c r="B1158" s="1" t="s">
        <v>2430</v>
      </c>
      <c r="C1158" s="1" t="s">
        <v>2395</v>
      </c>
      <c r="D1158" s="1" t="s">
        <v>2396</v>
      </c>
      <c r="E1158" s="1" t="s">
        <v>2431</v>
      </c>
      <c r="F1158" s="1" t="str">
        <f>HYPERLINK("https://talan.bank.gov.ua/get-user-certificate/J53250Ajqd7ii8lEjQAU","Завантажити сертифікат")</f>
        <v>Завантажити сертифікат</v>
      </c>
    </row>
    <row r="1159" spans="1:6" x14ac:dyDescent="0.3">
      <c r="A1159" s="2">
        <v>1158</v>
      </c>
      <c r="B1159" s="1" t="s">
        <v>2432</v>
      </c>
      <c r="C1159" s="1" t="s">
        <v>2395</v>
      </c>
      <c r="D1159" s="1" t="s">
        <v>2396</v>
      </c>
      <c r="E1159" s="1" t="s">
        <v>2433</v>
      </c>
      <c r="F1159" s="1" t="str">
        <f>HYPERLINK("https://talan.bank.gov.ua/get-user-certificate/J5325dBTo1BsB_gfafx6","Завантажити сертифікат")</f>
        <v>Завантажити сертифікат</v>
      </c>
    </row>
    <row r="1160" spans="1:6" x14ac:dyDescent="0.3">
      <c r="A1160" s="2">
        <v>1159</v>
      </c>
      <c r="B1160" s="1" t="s">
        <v>2434</v>
      </c>
      <c r="C1160" s="1" t="s">
        <v>2395</v>
      </c>
      <c r="D1160" s="1" t="s">
        <v>2396</v>
      </c>
      <c r="E1160" s="1" t="s">
        <v>2435</v>
      </c>
      <c r="F1160" s="1" t="str">
        <f>HYPERLINK("https://talan.bank.gov.ua/get-user-certificate/J5325EDOk-TZUOGRCgIa","Завантажити сертифікат")</f>
        <v>Завантажити сертифікат</v>
      </c>
    </row>
    <row r="1161" spans="1:6" x14ac:dyDescent="0.3">
      <c r="A1161" s="2">
        <v>1160</v>
      </c>
      <c r="B1161" s="1" t="s">
        <v>2436</v>
      </c>
      <c r="C1161" s="1" t="s">
        <v>2395</v>
      </c>
      <c r="D1161" s="1" t="s">
        <v>2396</v>
      </c>
      <c r="E1161" s="1" t="s">
        <v>2437</v>
      </c>
      <c r="F1161" s="1" t="str">
        <f>HYPERLINK("https://talan.bank.gov.ua/get-user-certificate/J5325q-3V39zl9QRu2ms","Завантажити сертифікат")</f>
        <v>Завантажити сертифікат</v>
      </c>
    </row>
    <row r="1162" spans="1:6" x14ac:dyDescent="0.3">
      <c r="A1162" s="2">
        <v>1161</v>
      </c>
      <c r="B1162" s="1" t="s">
        <v>2438</v>
      </c>
      <c r="C1162" s="1" t="s">
        <v>2395</v>
      </c>
      <c r="D1162" s="1" t="s">
        <v>2396</v>
      </c>
      <c r="E1162" s="1" t="s">
        <v>2439</v>
      </c>
      <c r="F1162" s="1" t="str">
        <f>HYPERLINK("https://talan.bank.gov.ua/get-user-certificate/J5325f6s4buy_Pr9K5tp","Завантажити сертифікат")</f>
        <v>Завантажити сертифікат</v>
      </c>
    </row>
    <row r="1163" spans="1:6" x14ac:dyDescent="0.3">
      <c r="A1163" s="2">
        <v>1162</v>
      </c>
      <c r="B1163" s="1" t="s">
        <v>2440</v>
      </c>
      <c r="C1163" s="1" t="s">
        <v>2395</v>
      </c>
      <c r="D1163" s="1" t="s">
        <v>2396</v>
      </c>
      <c r="E1163" s="1" t="s">
        <v>2441</v>
      </c>
      <c r="F1163" s="1" t="str">
        <f>HYPERLINK("https://talan.bank.gov.ua/get-user-certificate/J5325XajtXS_K2aPOZF2","Завантажити сертифікат")</f>
        <v>Завантажити сертифікат</v>
      </c>
    </row>
    <row r="1164" spans="1:6" x14ac:dyDescent="0.3">
      <c r="A1164" s="2">
        <v>1163</v>
      </c>
      <c r="B1164" s="1" t="s">
        <v>2442</v>
      </c>
      <c r="C1164" s="1" t="s">
        <v>2395</v>
      </c>
      <c r="D1164" s="1" t="s">
        <v>2396</v>
      </c>
      <c r="E1164" s="1" t="s">
        <v>2443</v>
      </c>
      <c r="F1164" s="1" t="str">
        <f>HYPERLINK("https://talan.bank.gov.ua/get-user-certificate/J5325V2ym7U0pE15QlXn","Завантажити сертифікат")</f>
        <v>Завантажити сертифікат</v>
      </c>
    </row>
    <row r="1165" spans="1:6" x14ac:dyDescent="0.3">
      <c r="A1165" s="2">
        <v>1164</v>
      </c>
      <c r="B1165" s="1" t="s">
        <v>2444</v>
      </c>
      <c r="C1165" s="1" t="s">
        <v>2395</v>
      </c>
      <c r="D1165" s="1" t="s">
        <v>2396</v>
      </c>
      <c r="E1165" s="1" t="s">
        <v>2445</v>
      </c>
      <c r="F1165" s="1" t="str">
        <f>HYPERLINK("https://talan.bank.gov.ua/get-user-certificate/J532512Q00rxnv_a-HWT","Завантажити сертифікат")</f>
        <v>Завантажити сертифікат</v>
      </c>
    </row>
    <row r="1166" spans="1:6" x14ac:dyDescent="0.3">
      <c r="A1166" s="2">
        <v>1165</v>
      </c>
      <c r="B1166" s="1" t="s">
        <v>2446</v>
      </c>
      <c r="C1166" s="1" t="s">
        <v>2395</v>
      </c>
      <c r="D1166" s="1" t="s">
        <v>2396</v>
      </c>
      <c r="E1166" s="1" t="s">
        <v>2447</v>
      </c>
      <c r="F1166" s="1" t="str">
        <f>HYPERLINK("https://talan.bank.gov.ua/get-user-certificate/J5325d5Ai8dcMeyonwV1","Завантажити сертифікат")</f>
        <v>Завантажити сертифікат</v>
      </c>
    </row>
    <row r="1167" spans="1:6" x14ac:dyDescent="0.3">
      <c r="A1167" s="2">
        <v>1166</v>
      </c>
      <c r="B1167" s="1" t="s">
        <v>2448</v>
      </c>
      <c r="C1167" s="1" t="s">
        <v>2395</v>
      </c>
      <c r="D1167" s="1" t="s">
        <v>2396</v>
      </c>
      <c r="E1167" s="1" t="s">
        <v>2449</v>
      </c>
      <c r="F1167" s="1" t="str">
        <f>HYPERLINK("https://talan.bank.gov.ua/get-user-certificate/J5325LN0Icdu4aJ3f9Y6","Завантажити сертифікат")</f>
        <v>Завантажити сертифікат</v>
      </c>
    </row>
    <row r="1168" spans="1:6" x14ac:dyDescent="0.3">
      <c r="A1168" s="2">
        <v>1167</v>
      </c>
      <c r="B1168" s="1" t="s">
        <v>2450</v>
      </c>
      <c r="C1168" s="1" t="s">
        <v>2395</v>
      </c>
      <c r="D1168" s="1" t="s">
        <v>2396</v>
      </c>
      <c r="E1168" s="1" t="s">
        <v>2451</v>
      </c>
      <c r="F1168" s="1" t="str">
        <f>HYPERLINK("https://talan.bank.gov.ua/get-user-certificate/J532585Lj6_9bbKdj1-j","Завантажити сертифікат")</f>
        <v>Завантажити сертифікат</v>
      </c>
    </row>
    <row r="1169" spans="1:6" x14ac:dyDescent="0.3">
      <c r="A1169" s="2">
        <v>1168</v>
      </c>
      <c r="B1169" s="1" t="s">
        <v>2452</v>
      </c>
      <c r="C1169" s="1" t="s">
        <v>2395</v>
      </c>
      <c r="D1169" s="1" t="s">
        <v>2396</v>
      </c>
      <c r="E1169" s="1" t="s">
        <v>2453</v>
      </c>
      <c r="F1169" s="1" t="str">
        <f>HYPERLINK("https://talan.bank.gov.ua/get-user-certificate/J5325ulhqgdPoZp002KD","Завантажити сертифікат")</f>
        <v>Завантажити сертифікат</v>
      </c>
    </row>
    <row r="1170" spans="1:6" x14ac:dyDescent="0.3">
      <c r="A1170" s="2">
        <v>1169</v>
      </c>
      <c r="B1170" s="1" t="s">
        <v>2454</v>
      </c>
      <c r="C1170" s="1" t="s">
        <v>2395</v>
      </c>
      <c r="D1170" s="1" t="s">
        <v>2396</v>
      </c>
      <c r="E1170" s="1" t="s">
        <v>2455</v>
      </c>
      <c r="F1170" s="1" t="str">
        <f>HYPERLINK("https://talan.bank.gov.ua/get-user-certificate/J5325GLjvSXSLpi_LSNc","Завантажити сертифікат")</f>
        <v>Завантажити сертифікат</v>
      </c>
    </row>
    <row r="1171" spans="1:6" ht="28.8" x14ac:dyDescent="0.3">
      <c r="A1171" s="2">
        <v>1170</v>
      </c>
      <c r="B1171" s="1" t="s">
        <v>2456</v>
      </c>
      <c r="C1171" s="1" t="s">
        <v>2457</v>
      </c>
      <c r="D1171" s="1" t="s">
        <v>2458</v>
      </c>
      <c r="E1171" s="1" t="s">
        <v>2459</v>
      </c>
      <c r="F1171" s="1" t="str">
        <f>HYPERLINK("https://talan.bank.gov.ua/get-user-certificate/J5325skSUZQqJYZ75IGi","Завантажити сертифікат")</f>
        <v>Завантажити сертифікат</v>
      </c>
    </row>
    <row r="1172" spans="1:6" ht="28.8" x14ac:dyDescent="0.3">
      <c r="A1172" s="2">
        <v>1171</v>
      </c>
      <c r="B1172" s="1" t="s">
        <v>2460</v>
      </c>
      <c r="C1172" s="1" t="s">
        <v>2457</v>
      </c>
      <c r="D1172" s="1" t="s">
        <v>2458</v>
      </c>
      <c r="E1172" s="1" t="s">
        <v>2461</v>
      </c>
      <c r="F1172" s="1" t="str">
        <f>HYPERLINK("https://talan.bank.gov.ua/get-user-certificate/J5325VZbA5nmnIgnH3Wj","Завантажити сертифікат")</f>
        <v>Завантажити сертифікат</v>
      </c>
    </row>
    <row r="1173" spans="1:6" ht="28.8" x14ac:dyDescent="0.3">
      <c r="A1173" s="2">
        <v>1172</v>
      </c>
      <c r="B1173" s="1" t="s">
        <v>2462</v>
      </c>
      <c r="C1173" s="1" t="s">
        <v>2457</v>
      </c>
      <c r="D1173" s="1" t="s">
        <v>2458</v>
      </c>
      <c r="E1173" s="1" t="s">
        <v>2463</v>
      </c>
      <c r="F1173" s="1" t="str">
        <f>HYPERLINK("https://talan.bank.gov.ua/get-user-certificate/J5325Qc5cM6j3VFJlb8n","Завантажити сертифікат")</f>
        <v>Завантажити сертифікат</v>
      </c>
    </row>
    <row r="1174" spans="1:6" ht="28.8" x14ac:dyDescent="0.3">
      <c r="A1174" s="2">
        <v>1173</v>
      </c>
      <c r="B1174" s="1" t="s">
        <v>2464</v>
      </c>
      <c r="C1174" s="1" t="s">
        <v>2457</v>
      </c>
      <c r="D1174" s="1" t="s">
        <v>2458</v>
      </c>
      <c r="E1174" s="1" t="s">
        <v>2465</v>
      </c>
      <c r="F1174" s="1" t="str">
        <f>HYPERLINK("https://talan.bank.gov.ua/get-user-certificate/J5325FPvMP61dBRhdYWJ","Завантажити сертифікат")</f>
        <v>Завантажити сертифікат</v>
      </c>
    </row>
    <row r="1175" spans="1:6" ht="43.2" x14ac:dyDescent="0.3">
      <c r="A1175" s="2">
        <v>1174</v>
      </c>
      <c r="B1175" s="1" t="s">
        <v>2466</v>
      </c>
      <c r="C1175" s="1" t="s">
        <v>2467</v>
      </c>
      <c r="D1175" s="1" t="s">
        <v>2468</v>
      </c>
      <c r="E1175" s="1" t="s">
        <v>2469</v>
      </c>
      <c r="F1175" s="1" t="str">
        <f>HYPERLINK("https://talan.bank.gov.ua/get-user-certificate/J5325KD8Oj7jb__m0uyy","Завантажити сертифікат")</f>
        <v>Завантажити сертифікат</v>
      </c>
    </row>
    <row r="1176" spans="1:6" ht="43.2" x14ac:dyDescent="0.3">
      <c r="A1176" s="2">
        <v>1175</v>
      </c>
      <c r="B1176" s="1" t="s">
        <v>2470</v>
      </c>
      <c r="C1176" s="1" t="s">
        <v>2467</v>
      </c>
      <c r="D1176" s="1" t="s">
        <v>2468</v>
      </c>
      <c r="E1176" s="1" t="s">
        <v>2471</v>
      </c>
      <c r="F1176" s="1" t="str">
        <f>HYPERLINK("https://talan.bank.gov.ua/get-user-certificate/J5325cMp8F51iBICPmii","Завантажити сертифікат")</f>
        <v>Завантажити сертифікат</v>
      </c>
    </row>
    <row r="1177" spans="1:6" ht="43.2" x14ac:dyDescent="0.3">
      <c r="A1177" s="2">
        <v>1176</v>
      </c>
      <c r="B1177" s="1" t="s">
        <v>2472</v>
      </c>
      <c r="C1177" s="1" t="s">
        <v>2467</v>
      </c>
      <c r="D1177" s="1" t="s">
        <v>2468</v>
      </c>
      <c r="E1177" s="1" t="s">
        <v>2473</v>
      </c>
      <c r="F1177" s="1" t="str">
        <f>HYPERLINK("https://talan.bank.gov.ua/get-user-certificate/J5325QRCB6SNlcsAOuk1","Завантажити сертифікат")</f>
        <v>Завантажити сертифікат</v>
      </c>
    </row>
    <row r="1178" spans="1:6" ht="43.2" x14ac:dyDescent="0.3">
      <c r="A1178" s="2">
        <v>1177</v>
      </c>
      <c r="B1178" s="1" t="s">
        <v>2474</v>
      </c>
      <c r="C1178" s="1" t="s">
        <v>2467</v>
      </c>
      <c r="D1178" s="1" t="s">
        <v>2468</v>
      </c>
      <c r="E1178" s="1" t="s">
        <v>2475</v>
      </c>
      <c r="F1178" s="1" t="str">
        <f>HYPERLINK("https://talan.bank.gov.ua/get-user-certificate/J5325jszZdDtjQ07wnOV","Завантажити сертифікат")</f>
        <v>Завантажити сертифікат</v>
      </c>
    </row>
    <row r="1179" spans="1:6" ht="43.2" x14ac:dyDescent="0.3">
      <c r="A1179" s="2">
        <v>1178</v>
      </c>
      <c r="B1179" s="1" t="s">
        <v>2476</v>
      </c>
      <c r="C1179" s="1" t="s">
        <v>2467</v>
      </c>
      <c r="D1179" s="1" t="s">
        <v>2468</v>
      </c>
      <c r="E1179" s="1" t="s">
        <v>2477</v>
      </c>
      <c r="F1179" s="1" t="str">
        <f>HYPERLINK("https://talan.bank.gov.ua/get-user-certificate/J53256DvT4QKZEk567Rh","Завантажити сертифікат")</f>
        <v>Завантажити сертифікат</v>
      </c>
    </row>
    <row r="1180" spans="1:6" ht="43.2" x14ac:dyDescent="0.3">
      <c r="A1180" s="2">
        <v>1179</v>
      </c>
      <c r="B1180" s="1" t="s">
        <v>2478</v>
      </c>
      <c r="C1180" s="1" t="s">
        <v>2467</v>
      </c>
      <c r="D1180" s="1" t="s">
        <v>2468</v>
      </c>
      <c r="E1180" s="1" t="s">
        <v>2479</v>
      </c>
      <c r="F1180" s="1" t="str">
        <f>HYPERLINK("https://talan.bank.gov.ua/get-user-certificate/J53253_3luV-O7AeyoPw","Завантажити сертифікат")</f>
        <v>Завантажити сертифікат</v>
      </c>
    </row>
    <row r="1181" spans="1:6" ht="43.2" x14ac:dyDescent="0.3">
      <c r="A1181" s="2">
        <v>1180</v>
      </c>
      <c r="B1181" s="1" t="s">
        <v>2480</v>
      </c>
      <c r="C1181" s="1" t="s">
        <v>2467</v>
      </c>
      <c r="D1181" s="1" t="s">
        <v>2468</v>
      </c>
      <c r="E1181" s="1" t="s">
        <v>2481</v>
      </c>
      <c r="F1181" s="1" t="str">
        <f>HYPERLINK("https://talan.bank.gov.ua/get-user-certificate/J5325mfQ8qDGxU-UVHd0","Завантажити сертифікат")</f>
        <v>Завантажити сертифікат</v>
      </c>
    </row>
    <row r="1182" spans="1:6" ht="43.2" x14ac:dyDescent="0.3">
      <c r="A1182" s="2">
        <v>1181</v>
      </c>
      <c r="B1182" s="1" t="s">
        <v>2482</v>
      </c>
      <c r="C1182" s="1" t="s">
        <v>2467</v>
      </c>
      <c r="D1182" s="1" t="s">
        <v>2468</v>
      </c>
      <c r="E1182" s="1" t="s">
        <v>2483</v>
      </c>
      <c r="F1182" s="1" t="str">
        <f>HYPERLINK("https://talan.bank.gov.ua/get-user-certificate/J5325qDglKr5N2WdDf9-","Завантажити сертифікат")</f>
        <v>Завантажити сертифікат</v>
      </c>
    </row>
    <row r="1183" spans="1:6" ht="43.2" x14ac:dyDescent="0.3">
      <c r="A1183" s="2">
        <v>1182</v>
      </c>
      <c r="B1183" s="1" t="s">
        <v>2484</v>
      </c>
      <c r="C1183" s="1" t="s">
        <v>2467</v>
      </c>
      <c r="D1183" s="1" t="s">
        <v>2468</v>
      </c>
      <c r="E1183" s="1" t="s">
        <v>2485</v>
      </c>
      <c r="F1183" s="1" t="str">
        <f>HYPERLINK("https://talan.bank.gov.ua/get-user-certificate/J5325IqG-5XocJu-x45a","Завантажити сертифікат")</f>
        <v>Завантажити сертифікат</v>
      </c>
    </row>
    <row r="1184" spans="1:6" ht="43.2" x14ac:dyDescent="0.3">
      <c r="A1184" s="2">
        <v>1183</v>
      </c>
      <c r="B1184" s="1" t="s">
        <v>2486</v>
      </c>
      <c r="C1184" s="1" t="s">
        <v>2467</v>
      </c>
      <c r="D1184" s="1" t="s">
        <v>2468</v>
      </c>
      <c r="E1184" s="1" t="s">
        <v>2487</v>
      </c>
      <c r="F1184" s="1" t="str">
        <f>HYPERLINK("https://talan.bank.gov.ua/get-user-certificate/J532520fl8v1bYDgptug","Завантажити сертифікат")</f>
        <v>Завантажити сертифікат</v>
      </c>
    </row>
    <row r="1185" spans="1:6" ht="43.2" x14ac:dyDescent="0.3">
      <c r="A1185" s="2">
        <v>1184</v>
      </c>
      <c r="B1185" s="1" t="s">
        <v>2488</v>
      </c>
      <c r="C1185" s="1" t="s">
        <v>2467</v>
      </c>
      <c r="D1185" s="1" t="s">
        <v>2468</v>
      </c>
      <c r="E1185" s="1" t="s">
        <v>2489</v>
      </c>
      <c r="F1185" s="1" t="str">
        <f>HYPERLINK("https://talan.bank.gov.ua/get-user-certificate/J5325h17WHa1xKJmPsq4","Завантажити сертифікат")</f>
        <v>Завантажити сертифікат</v>
      </c>
    </row>
    <row r="1186" spans="1:6" ht="43.2" x14ac:dyDescent="0.3">
      <c r="A1186" s="2">
        <v>1185</v>
      </c>
      <c r="B1186" s="1" t="s">
        <v>2490</v>
      </c>
      <c r="C1186" s="1" t="s">
        <v>2467</v>
      </c>
      <c r="D1186" s="1" t="s">
        <v>2468</v>
      </c>
      <c r="E1186" s="1" t="s">
        <v>2491</v>
      </c>
      <c r="F1186" s="1" t="str">
        <f>HYPERLINK("https://talan.bank.gov.ua/get-user-certificate/J5325DdmrYmMvZYD94Pq","Завантажити сертифікат")</f>
        <v>Завантажити сертифікат</v>
      </c>
    </row>
    <row r="1187" spans="1:6" ht="43.2" x14ac:dyDescent="0.3">
      <c r="A1187" s="2">
        <v>1186</v>
      </c>
      <c r="B1187" s="1" t="s">
        <v>2492</v>
      </c>
      <c r="C1187" s="1" t="s">
        <v>2467</v>
      </c>
      <c r="D1187" s="1" t="s">
        <v>2468</v>
      </c>
      <c r="E1187" s="1" t="s">
        <v>2493</v>
      </c>
      <c r="F1187" s="1" t="str">
        <f>HYPERLINK("https://talan.bank.gov.ua/get-user-certificate/J5325eaJso4DEu67Ta4I","Завантажити сертифікат")</f>
        <v>Завантажити сертифікат</v>
      </c>
    </row>
    <row r="1188" spans="1:6" ht="43.2" x14ac:dyDescent="0.3">
      <c r="A1188" s="2">
        <v>1187</v>
      </c>
      <c r="B1188" s="1" t="s">
        <v>2494</v>
      </c>
      <c r="C1188" s="1" t="s">
        <v>2467</v>
      </c>
      <c r="D1188" s="1" t="s">
        <v>2468</v>
      </c>
      <c r="E1188" s="1" t="s">
        <v>2495</v>
      </c>
      <c r="F1188" s="1" t="str">
        <f>HYPERLINK("https://talan.bank.gov.ua/get-user-certificate/J5325eT45oAnQJaP1_F2","Завантажити сертифікат")</f>
        <v>Завантажити сертифікат</v>
      </c>
    </row>
    <row r="1189" spans="1:6" ht="43.2" x14ac:dyDescent="0.3">
      <c r="A1189" s="2">
        <v>1188</v>
      </c>
      <c r="B1189" s="1" t="s">
        <v>2496</v>
      </c>
      <c r="C1189" s="1" t="s">
        <v>2467</v>
      </c>
      <c r="D1189" s="1" t="s">
        <v>2468</v>
      </c>
      <c r="E1189" s="1" t="s">
        <v>2497</v>
      </c>
      <c r="F1189" s="1" t="str">
        <f>HYPERLINK("https://talan.bank.gov.ua/get-user-certificate/J5325GacEJ3qSlhBvnAq","Завантажити сертифікат")</f>
        <v>Завантажити сертифікат</v>
      </c>
    </row>
    <row r="1190" spans="1:6" ht="43.2" x14ac:dyDescent="0.3">
      <c r="A1190" s="2">
        <v>1189</v>
      </c>
      <c r="B1190" s="1" t="s">
        <v>2498</v>
      </c>
      <c r="C1190" s="1" t="s">
        <v>2467</v>
      </c>
      <c r="D1190" s="1" t="s">
        <v>2468</v>
      </c>
      <c r="E1190" s="1" t="s">
        <v>2499</v>
      </c>
      <c r="F1190" s="1" t="str">
        <f>HYPERLINK("https://talan.bank.gov.ua/get-user-certificate/J5325-JE6poYBvoqxxk6","Завантажити сертифікат")</f>
        <v>Завантажити сертифікат</v>
      </c>
    </row>
    <row r="1191" spans="1:6" ht="43.2" x14ac:dyDescent="0.3">
      <c r="A1191" s="2">
        <v>1190</v>
      </c>
      <c r="B1191" s="1" t="s">
        <v>2500</v>
      </c>
      <c r="C1191" s="1" t="s">
        <v>2467</v>
      </c>
      <c r="D1191" s="1" t="s">
        <v>2468</v>
      </c>
      <c r="E1191" s="1" t="s">
        <v>2501</v>
      </c>
      <c r="F1191" s="1" t="str">
        <f>HYPERLINK("https://talan.bank.gov.ua/get-user-certificate/J5325J0t7Ocf_yHZM8AQ","Завантажити сертифікат")</f>
        <v>Завантажити сертифікат</v>
      </c>
    </row>
    <row r="1192" spans="1:6" ht="43.2" x14ac:dyDescent="0.3">
      <c r="A1192" s="2">
        <v>1191</v>
      </c>
      <c r="B1192" s="1" t="s">
        <v>2502</v>
      </c>
      <c r="C1192" s="1" t="s">
        <v>2467</v>
      </c>
      <c r="D1192" s="1" t="s">
        <v>2468</v>
      </c>
      <c r="E1192" s="1" t="s">
        <v>2503</v>
      </c>
      <c r="F1192" s="1" t="str">
        <f>HYPERLINK("https://talan.bank.gov.ua/get-user-certificate/J5325Fr77Hh_VmiQQL98","Завантажити сертифікат")</f>
        <v>Завантажити сертифікат</v>
      </c>
    </row>
    <row r="1193" spans="1:6" ht="43.2" x14ac:dyDescent="0.3">
      <c r="A1193" s="2">
        <v>1192</v>
      </c>
      <c r="B1193" s="1" t="s">
        <v>2504</v>
      </c>
      <c r="C1193" s="1" t="s">
        <v>2467</v>
      </c>
      <c r="D1193" s="1" t="s">
        <v>2468</v>
      </c>
      <c r="E1193" s="1" t="s">
        <v>2505</v>
      </c>
      <c r="F1193" s="1" t="str">
        <f>HYPERLINK("https://talan.bank.gov.ua/get-user-certificate/J5325tBt2WzMrISTmgNS","Завантажити сертифікат")</f>
        <v>Завантажити сертифікат</v>
      </c>
    </row>
    <row r="1194" spans="1:6" ht="43.2" x14ac:dyDescent="0.3">
      <c r="A1194" s="2">
        <v>1193</v>
      </c>
      <c r="B1194" s="1" t="s">
        <v>2506</v>
      </c>
      <c r="C1194" s="1" t="s">
        <v>2467</v>
      </c>
      <c r="D1194" s="1" t="s">
        <v>2468</v>
      </c>
      <c r="E1194" s="1" t="s">
        <v>2507</v>
      </c>
      <c r="F1194" s="1" t="str">
        <f>HYPERLINK("https://talan.bank.gov.ua/get-user-certificate/J5325SwNAGjscdGOgQVm","Завантажити сертифікат")</f>
        <v>Завантажити сертифікат</v>
      </c>
    </row>
    <row r="1195" spans="1:6" ht="43.2" x14ac:dyDescent="0.3">
      <c r="A1195" s="2">
        <v>1194</v>
      </c>
      <c r="B1195" s="1" t="s">
        <v>2508</v>
      </c>
      <c r="C1195" s="1" t="s">
        <v>2467</v>
      </c>
      <c r="D1195" s="1" t="s">
        <v>2468</v>
      </c>
      <c r="E1195" s="1" t="s">
        <v>2509</v>
      </c>
      <c r="F1195" s="1" t="str">
        <f>HYPERLINK("https://talan.bank.gov.ua/get-user-certificate/J5325cufamWStXhbz3Vy","Завантажити сертифікат")</f>
        <v>Завантажити сертифікат</v>
      </c>
    </row>
    <row r="1196" spans="1:6" ht="43.2" x14ac:dyDescent="0.3">
      <c r="A1196" s="2">
        <v>1195</v>
      </c>
      <c r="B1196" s="1" t="s">
        <v>2510</v>
      </c>
      <c r="C1196" s="1" t="s">
        <v>2467</v>
      </c>
      <c r="D1196" s="1" t="s">
        <v>2468</v>
      </c>
      <c r="E1196" s="1" t="s">
        <v>2511</v>
      </c>
      <c r="F1196" s="1" t="str">
        <f>HYPERLINK("https://talan.bank.gov.ua/get-user-certificate/J5325UZNCg5E3AO6CrVq","Завантажити сертифікат")</f>
        <v>Завантажити сертифікат</v>
      </c>
    </row>
    <row r="1197" spans="1:6" ht="43.2" x14ac:dyDescent="0.3">
      <c r="A1197" s="2">
        <v>1196</v>
      </c>
      <c r="B1197" s="1" t="s">
        <v>2512</v>
      </c>
      <c r="C1197" s="1" t="s">
        <v>2513</v>
      </c>
      <c r="D1197" s="1" t="s">
        <v>2514</v>
      </c>
      <c r="E1197" s="1" t="s">
        <v>2515</v>
      </c>
      <c r="F1197" s="1" t="str">
        <f>HYPERLINK("https://talan.bank.gov.ua/get-user-certificate/J5325p5wXOjZfuenyZE4","Завантажити сертифікат")</f>
        <v>Завантажити сертифікат</v>
      </c>
    </row>
    <row r="1198" spans="1:6" ht="43.2" x14ac:dyDescent="0.3">
      <c r="A1198" s="2">
        <v>1197</v>
      </c>
      <c r="B1198" s="1" t="s">
        <v>2516</v>
      </c>
      <c r="C1198" s="1" t="s">
        <v>2513</v>
      </c>
      <c r="D1198" s="1" t="s">
        <v>2514</v>
      </c>
      <c r="E1198" s="1" t="s">
        <v>2517</v>
      </c>
      <c r="F1198" s="1" t="str">
        <f>HYPERLINK("https://talan.bank.gov.ua/get-user-certificate/J5325X7_Xl2Z2iXO0MnS","Завантажити сертифікат")</f>
        <v>Завантажити сертифікат</v>
      </c>
    </row>
    <row r="1199" spans="1:6" ht="43.2" x14ac:dyDescent="0.3">
      <c r="A1199" s="2">
        <v>1198</v>
      </c>
      <c r="B1199" s="1" t="s">
        <v>2518</v>
      </c>
      <c r="C1199" s="1" t="s">
        <v>2513</v>
      </c>
      <c r="D1199" s="1" t="s">
        <v>2514</v>
      </c>
      <c r="E1199" s="1" t="s">
        <v>2519</v>
      </c>
      <c r="F1199" s="1" t="str">
        <f>HYPERLINK("https://talan.bank.gov.ua/get-user-certificate/J5325KC-3dTsbzSZRcuV","Завантажити сертифікат")</f>
        <v>Завантажити сертифікат</v>
      </c>
    </row>
    <row r="1200" spans="1:6" ht="43.2" x14ac:dyDescent="0.3">
      <c r="A1200" s="2">
        <v>1199</v>
      </c>
      <c r="B1200" s="1" t="s">
        <v>2520</v>
      </c>
      <c r="C1200" s="1" t="s">
        <v>2521</v>
      </c>
      <c r="D1200" s="1" t="s">
        <v>2522</v>
      </c>
      <c r="E1200" s="1" t="s">
        <v>2523</v>
      </c>
      <c r="F1200" s="1" t="str">
        <f>HYPERLINK("https://talan.bank.gov.ua/get-user-certificate/J53253Q9VYSJlTNZE--D","Завантажити сертифікат")</f>
        <v>Завантажити сертифікат</v>
      </c>
    </row>
    <row r="1201" spans="1:6" ht="43.2" x14ac:dyDescent="0.3">
      <c r="A1201" s="2">
        <v>1200</v>
      </c>
      <c r="B1201" s="1" t="s">
        <v>2524</v>
      </c>
      <c r="C1201" s="1" t="s">
        <v>2521</v>
      </c>
      <c r="D1201" s="1" t="s">
        <v>2522</v>
      </c>
      <c r="E1201" s="1" t="s">
        <v>2525</v>
      </c>
      <c r="F1201" s="1" t="str">
        <f>HYPERLINK("https://talan.bank.gov.ua/get-user-certificate/J5325BKNdpAf4up0e2nI","Завантажити сертифікат")</f>
        <v>Завантажити сертифікат</v>
      </c>
    </row>
    <row r="1202" spans="1:6" ht="43.2" x14ac:dyDescent="0.3">
      <c r="A1202" s="2">
        <v>1201</v>
      </c>
      <c r="B1202" s="1" t="s">
        <v>2526</v>
      </c>
      <c r="C1202" s="1" t="s">
        <v>2521</v>
      </c>
      <c r="D1202" s="1" t="s">
        <v>2522</v>
      </c>
      <c r="E1202" s="1" t="s">
        <v>2527</v>
      </c>
      <c r="F1202" s="1" t="str">
        <f>HYPERLINK("https://talan.bank.gov.ua/get-user-certificate/J5325ct2XoOZJqVWQPt1","Завантажити сертифікат")</f>
        <v>Завантажити сертифікат</v>
      </c>
    </row>
    <row r="1203" spans="1:6" ht="43.2" x14ac:dyDescent="0.3">
      <c r="A1203" s="2">
        <v>1202</v>
      </c>
      <c r="B1203" s="1" t="s">
        <v>2528</v>
      </c>
      <c r="C1203" s="1" t="s">
        <v>2521</v>
      </c>
      <c r="D1203" s="1" t="s">
        <v>2522</v>
      </c>
      <c r="E1203" s="1" t="s">
        <v>2529</v>
      </c>
      <c r="F1203" s="1" t="str">
        <f>HYPERLINK("https://talan.bank.gov.ua/get-user-certificate/J5325rh0gyvjgrHDrwfZ","Завантажити сертифікат")</f>
        <v>Завантажити сертифікат</v>
      </c>
    </row>
    <row r="1204" spans="1:6" ht="28.8" x14ac:dyDescent="0.3">
      <c r="A1204" s="2">
        <v>1203</v>
      </c>
      <c r="B1204" s="1" t="s">
        <v>2530</v>
      </c>
      <c r="C1204" s="1" t="s">
        <v>2531</v>
      </c>
      <c r="D1204" s="1" t="s">
        <v>2532</v>
      </c>
      <c r="E1204" s="1" t="s">
        <v>2533</v>
      </c>
      <c r="F1204" s="1" t="str">
        <f>HYPERLINK("https://talan.bank.gov.ua/get-user-certificate/J5325MrFHqx75VTrmsOV","Завантажити сертифікат")</f>
        <v>Завантажити сертифікат</v>
      </c>
    </row>
    <row r="1205" spans="1:6" ht="28.8" x14ac:dyDescent="0.3">
      <c r="A1205" s="2">
        <v>1204</v>
      </c>
      <c r="B1205" s="1" t="s">
        <v>2534</v>
      </c>
      <c r="C1205" s="1" t="s">
        <v>2531</v>
      </c>
      <c r="D1205" s="1" t="s">
        <v>2532</v>
      </c>
      <c r="E1205" s="1" t="s">
        <v>2535</v>
      </c>
      <c r="F1205" s="1" t="str">
        <f>HYPERLINK("https://talan.bank.gov.ua/get-user-certificate/J5325zctU1gNNyrgIH9N","Завантажити сертифікат")</f>
        <v>Завантажити сертифікат</v>
      </c>
    </row>
    <row r="1206" spans="1:6" ht="28.8" x14ac:dyDescent="0.3">
      <c r="A1206" s="2">
        <v>1205</v>
      </c>
      <c r="B1206" s="1" t="s">
        <v>2536</v>
      </c>
      <c r="C1206" s="1" t="s">
        <v>2531</v>
      </c>
      <c r="D1206" s="1" t="s">
        <v>2532</v>
      </c>
      <c r="E1206" s="1" t="s">
        <v>2537</v>
      </c>
      <c r="F1206" s="1" t="str">
        <f>HYPERLINK("https://talan.bank.gov.ua/get-user-certificate/J53255zAbg5i8NMh5jLx","Завантажити сертифікат")</f>
        <v>Завантажити сертифікат</v>
      </c>
    </row>
    <row r="1207" spans="1:6" ht="28.8" x14ac:dyDescent="0.3">
      <c r="A1207" s="2">
        <v>1206</v>
      </c>
      <c r="B1207" s="1" t="s">
        <v>2538</v>
      </c>
      <c r="C1207" s="1" t="s">
        <v>2531</v>
      </c>
      <c r="D1207" s="1" t="s">
        <v>2532</v>
      </c>
      <c r="E1207" s="1" t="s">
        <v>2539</v>
      </c>
      <c r="F1207" s="1" t="str">
        <f>HYPERLINK("https://talan.bank.gov.ua/get-user-certificate/J5325fBAV7YODgQLXa4H","Завантажити сертифікат")</f>
        <v>Завантажити сертифікат</v>
      </c>
    </row>
    <row r="1208" spans="1:6" ht="28.8" x14ac:dyDescent="0.3">
      <c r="A1208" s="2">
        <v>1207</v>
      </c>
      <c r="B1208" s="1" t="s">
        <v>2540</v>
      </c>
      <c r="C1208" s="1" t="s">
        <v>2531</v>
      </c>
      <c r="D1208" s="1" t="s">
        <v>2532</v>
      </c>
      <c r="E1208" s="1" t="s">
        <v>2541</v>
      </c>
      <c r="F1208" s="1" t="str">
        <f>HYPERLINK("https://talan.bank.gov.ua/get-user-certificate/J53258Y9xHDu-COnYtey","Завантажити сертифікат")</f>
        <v>Завантажити сертифікат</v>
      </c>
    </row>
    <row r="1209" spans="1:6" ht="28.8" x14ac:dyDescent="0.3">
      <c r="A1209" s="2">
        <v>1208</v>
      </c>
      <c r="B1209" s="1" t="s">
        <v>2542</v>
      </c>
      <c r="C1209" s="1" t="s">
        <v>2531</v>
      </c>
      <c r="D1209" s="1" t="s">
        <v>2532</v>
      </c>
      <c r="E1209" s="1" t="s">
        <v>2543</v>
      </c>
      <c r="F1209" s="1" t="str">
        <f>HYPERLINK("https://talan.bank.gov.ua/get-user-certificate/J5325Di7mXgcGXVYIc5Z","Завантажити сертифікат")</f>
        <v>Завантажити сертифікат</v>
      </c>
    </row>
    <row r="1210" spans="1:6" ht="28.8" x14ac:dyDescent="0.3">
      <c r="A1210" s="2">
        <v>1209</v>
      </c>
      <c r="B1210" s="1" t="s">
        <v>2544</v>
      </c>
      <c r="C1210" s="1" t="s">
        <v>2531</v>
      </c>
      <c r="D1210" s="1" t="s">
        <v>2532</v>
      </c>
      <c r="E1210" s="1" t="s">
        <v>2545</v>
      </c>
      <c r="F1210" s="1" t="str">
        <f>HYPERLINK("https://talan.bank.gov.ua/get-user-certificate/J5325qvjjTsJHYYj9tXB","Завантажити сертифікат")</f>
        <v>Завантажити сертифікат</v>
      </c>
    </row>
    <row r="1211" spans="1:6" ht="28.8" x14ac:dyDescent="0.3">
      <c r="A1211" s="2">
        <v>1210</v>
      </c>
      <c r="B1211" s="1" t="s">
        <v>2546</v>
      </c>
      <c r="C1211" s="1" t="s">
        <v>2531</v>
      </c>
      <c r="D1211" s="1" t="s">
        <v>2532</v>
      </c>
      <c r="E1211" s="1" t="s">
        <v>2547</v>
      </c>
      <c r="F1211" s="1" t="str">
        <f>HYPERLINK("https://talan.bank.gov.ua/get-user-certificate/J5325dVI29Ls5puHtR0b","Завантажити сертифікат")</f>
        <v>Завантажити сертифікат</v>
      </c>
    </row>
    <row r="1212" spans="1:6" ht="28.8" x14ac:dyDescent="0.3">
      <c r="A1212" s="2">
        <v>1211</v>
      </c>
      <c r="B1212" s="1" t="s">
        <v>2548</v>
      </c>
      <c r="C1212" s="1" t="s">
        <v>2531</v>
      </c>
      <c r="D1212" s="1" t="s">
        <v>2532</v>
      </c>
      <c r="E1212" s="1" t="s">
        <v>2549</v>
      </c>
      <c r="F1212" s="1" t="str">
        <f>HYPERLINK("https://talan.bank.gov.ua/get-user-certificate/J5325FQ8XoAcsR7dtlEt","Завантажити сертифікат")</f>
        <v>Завантажити сертифікат</v>
      </c>
    </row>
    <row r="1213" spans="1:6" ht="28.8" x14ac:dyDescent="0.3">
      <c r="A1213" s="2">
        <v>1212</v>
      </c>
      <c r="B1213" s="1" t="s">
        <v>2550</v>
      </c>
      <c r="C1213" s="1" t="s">
        <v>2531</v>
      </c>
      <c r="D1213" s="1" t="s">
        <v>2532</v>
      </c>
      <c r="E1213" s="1" t="s">
        <v>2551</v>
      </c>
      <c r="F1213" s="1" t="str">
        <f>HYPERLINK("https://talan.bank.gov.ua/get-user-certificate/J5325PVradNAB0Fe6m_h","Завантажити сертифікат")</f>
        <v>Завантажити сертифікат</v>
      </c>
    </row>
    <row r="1214" spans="1:6" ht="28.8" x14ac:dyDescent="0.3">
      <c r="A1214" s="2">
        <v>1213</v>
      </c>
      <c r="B1214" s="1" t="s">
        <v>2552</v>
      </c>
      <c r="C1214" s="1" t="s">
        <v>2531</v>
      </c>
      <c r="D1214" s="1" t="s">
        <v>2532</v>
      </c>
      <c r="E1214" s="1" t="s">
        <v>2553</v>
      </c>
      <c r="F1214" s="1" t="str">
        <f>HYPERLINK("https://talan.bank.gov.ua/get-user-certificate/J5325etSPPglB70xa2Xg","Завантажити сертифікат")</f>
        <v>Завантажити сертифікат</v>
      </c>
    </row>
    <row r="1215" spans="1:6" ht="28.8" x14ac:dyDescent="0.3">
      <c r="A1215" s="2">
        <v>1214</v>
      </c>
      <c r="B1215" s="1" t="s">
        <v>2554</v>
      </c>
      <c r="C1215" s="1" t="s">
        <v>2531</v>
      </c>
      <c r="D1215" s="1" t="s">
        <v>2532</v>
      </c>
      <c r="E1215" s="1" t="s">
        <v>2555</v>
      </c>
      <c r="F1215" s="1" t="str">
        <f>HYPERLINK("https://talan.bank.gov.ua/get-user-certificate/J5325AftmpwGwW1_tL1l","Завантажити сертифікат")</f>
        <v>Завантажити сертифікат</v>
      </c>
    </row>
    <row r="1216" spans="1:6" ht="28.8" x14ac:dyDescent="0.3">
      <c r="A1216" s="2">
        <v>1215</v>
      </c>
      <c r="B1216" s="1" t="s">
        <v>2556</v>
      </c>
      <c r="C1216" s="1" t="s">
        <v>2531</v>
      </c>
      <c r="D1216" s="1" t="s">
        <v>2532</v>
      </c>
      <c r="E1216" s="1" t="s">
        <v>2557</v>
      </c>
      <c r="F1216" s="1" t="str">
        <f>HYPERLINK("https://talan.bank.gov.ua/get-user-certificate/J5325SyDHyxLhzEDHYf1","Завантажити сертифікат")</f>
        <v>Завантажити сертифікат</v>
      </c>
    </row>
    <row r="1217" spans="1:6" ht="28.8" x14ac:dyDescent="0.3">
      <c r="A1217" s="2">
        <v>1216</v>
      </c>
      <c r="B1217" s="1" t="s">
        <v>2558</v>
      </c>
      <c r="C1217" s="1" t="s">
        <v>2531</v>
      </c>
      <c r="D1217" s="1" t="s">
        <v>2532</v>
      </c>
      <c r="E1217" s="1" t="s">
        <v>2559</v>
      </c>
      <c r="F1217" s="1" t="str">
        <f>HYPERLINK("https://talan.bank.gov.ua/get-user-certificate/J5325oWfug_kMP30BdU5","Завантажити сертифікат")</f>
        <v>Завантажити сертифікат</v>
      </c>
    </row>
    <row r="1218" spans="1:6" ht="28.8" x14ac:dyDescent="0.3">
      <c r="A1218" s="2">
        <v>1217</v>
      </c>
      <c r="B1218" s="1" t="s">
        <v>2560</v>
      </c>
      <c r="C1218" s="1" t="s">
        <v>2561</v>
      </c>
      <c r="D1218" s="1" t="s">
        <v>2562</v>
      </c>
      <c r="E1218" s="1" t="s">
        <v>2563</v>
      </c>
      <c r="F1218" s="1" t="str">
        <f>HYPERLINK("https://talan.bank.gov.ua/get-user-certificate/J5325Y6N9-CuLm-HfymB","Завантажити сертифікат")</f>
        <v>Завантажити сертифікат</v>
      </c>
    </row>
    <row r="1219" spans="1:6" ht="28.8" x14ac:dyDescent="0.3">
      <c r="A1219" s="2">
        <v>1218</v>
      </c>
      <c r="B1219" s="1" t="s">
        <v>2564</v>
      </c>
      <c r="C1219" s="1" t="s">
        <v>2561</v>
      </c>
      <c r="D1219" s="1" t="s">
        <v>2562</v>
      </c>
      <c r="E1219" s="1" t="s">
        <v>2565</v>
      </c>
      <c r="F1219" s="1" t="str">
        <f>HYPERLINK("https://talan.bank.gov.ua/get-user-certificate/J53258aPvJ19VkSPUB3K","Завантажити сертифікат")</f>
        <v>Завантажити сертифікат</v>
      </c>
    </row>
    <row r="1220" spans="1:6" ht="28.8" x14ac:dyDescent="0.3">
      <c r="A1220" s="2">
        <v>1219</v>
      </c>
      <c r="B1220" s="1" t="s">
        <v>2566</v>
      </c>
      <c r="C1220" s="1" t="s">
        <v>2561</v>
      </c>
      <c r="D1220" s="1" t="s">
        <v>2562</v>
      </c>
      <c r="E1220" s="1" t="s">
        <v>2567</v>
      </c>
      <c r="F1220" s="1" t="str">
        <f>HYPERLINK("https://talan.bank.gov.ua/get-user-certificate/J53257iedZeAUfLC6toF","Завантажити сертифікат")</f>
        <v>Завантажити сертифікат</v>
      </c>
    </row>
    <row r="1221" spans="1:6" ht="28.8" x14ac:dyDescent="0.3">
      <c r="A1221" s="2">
        <v>1220</v>
      </c>
      <c r="B1221" s="1" t="s">
        <v>2568</v>
      </c>
      <c r="C1221" s="1" t="s">
        <v>2561</v>
      </c>
      <c r="D1221" s="1" t="s">
        <v>2562</v>
      </c>
      <c r="E1221" s="1" t="s">
        <v>2569</v>
      </c>
      <c r="F1221" s="1" t="str">
        <f>HYPERLINK("https://talan.bank.gov.ua/get-user-certificate/J5325dUCZ8LWfMd1v6mO","Завантажити сертифікат")</f>
        <v>Завантажити сертифікат</v>
      </c>
    </row>
    <row r="1222" spans="1:6" ht="28.8" x14ac:dyDescent="0.3">
      <c r="A1222" s="2">
        <v>1221</v>
      </c>
      <c r="B1222" s="1" t="s">
        <v>2570</v>
      </c>
      <c r="C1222" s="1" t="s">
        <v>2561</v>
      </c>
      <c r="D1222" s="1" t="s">
        <v>2562</v>
      </c>
      <c r="E1222" s="1" t="s">
        <v>2571</v>
      </c>
      <c r="F1222" s="1" t="str">
        <f>HYPERLINK("https://talan.bank.gov.ua/get-user-certificate/J5325EVGTkCw3CQjuom4","Завантажити сертифікат")</f>
        <v>Завантажити сертифікат</v>
      </c>
    </row>
    <row r="1223" spans="1:6" ht="28.8" x14ac:dyDescent="0.3">
      <c r="A1223" s="2">
        <v>1222</v>
      </c>
      <c r="B1223" s="1" t="s">
        <v>2572</v>
      </c>
      <c r="C1223" s="1" t="s">
        <v>2561</v>
      </c>
      <c r="D1223" s="1" t="s">
        <v>2562</v>
      </c>
      <c r="E1223" s="1" t="s">
        <v>2573</v>
      </c>
      <c r="F1223" s="1" t="str">
        <f>HYPERLINK("https://talan.bank.gov.ua/get-user-certificate/J5325eesQQ4z1t5TXhRU","Завантажити сертифікат")</f>
        <v>Завантажити сертифікат</v>
      </c>
    </row>
    <row r="1224" spans="1:6" ht="28.8" x14ac:dyDescent="0.3">
      <c r="A1224" s="2">
        <v>1223</v>
      </c>
      <c r="B1224" s="1" t="s">
        <v>2574</v>
      </c>
      <c r="C1224" s="1" t="s">
        <v>2561</v>
      </c>
      <c r="D1224" s="1" t="s">
        <v>2562</v>
      </c>
      <c r="E1224" s="1" t="s">
        <v>2575</v>
      </c>
      <c r="F1224" s="1" t="str">
        <f>HYPERLINK("https://talan.bank.gov.ua/get-user-certificate/J5325h47YkUrErkaSGls","Завантажити сертифікат")</f>
        <v>Завантажити сертифікат</v>
      </c>
    </row>
    <row r="1225" spans="1:6" ht="43.2" x14ac:dyDescent="0.3">
      <c r="A1225" s="2">
        <v>1224</v>
      </c>
      <c r="B1225" s="1" t="s">
        <v>2576</v>
      </c>
      <c r="C1225" s="1" t="s">
        <v>2577</v>
      </c>
      <c r="D1225" s="1" t="s">
        <v>2578</v>
      </c>
      <c r="E1225" s="1" t="s">
        <v>2579</v>
      </c>
      <c r="F1225" s="1" t="str">
        <f>HYPERLINK("https://talan.bank.gov.ua/get-user-certificate/J5325DDqQtZmRmr5tCUL","Завантажити сертифікат")</f>
        <v>Завантажити сертифікат</v>
      </c>
    </row>
    <row r="1226" spans="1:6" ht="43.2" x14ac:dyDescent="0.3">
      <c r="A1226" s="2">
        <v>1225</v>
      </c>
      <c r="B1226" s="1" t="s">
        <v>2580</v>
      </c>
      <c r="C1226" s="1" t="s">
        <v>2577</v>
      </c>
      <c r="D1226" s="1" t="s">
        <v>2578</v>
      </c>
      <c r="E1226" s="1" t="s">
        <v>2581</v>
      </c>
      <c r="F1226" s="1" t="str">
        <f>HYPERLINK("https://talan.bank.gov.ua/get-user-certificate/J5325eebmCE587Q1qZP_","Завантажити сертифікат")</f>
        <v>Завантажити сертифікат</v>
      </c>
    </row>
    <row r="1227" spans="1:6" ht="43.2" x14ac:dyDescent="0.3">
      <c r="A1227" s="2">
        <v>1226</v>
      </c>
      <c r="B1227" s="1" t="s">
        <v>2582</v>
      </c>
      <c r="C1227" s="1" t="s">
        <v>2577</v>
      </c>
      <c r="D1227" s="1" t="s">
        <v>2578</v>
      </c>
      <c r="E1227" s="1" t="s">
        <v>2583</v>
      </c>
      <c r="F1227" s="1" t="str">
        <f>HYPERLINK("https://talan.bank.gov.ua/get-user-certificate/J5325rGIx6m-fPkC-oMj","Завантажити сертифікат")</f>
        <v>Завантажити сертифікат</v>
      </c>
    </row>
    <row r="1228" spans="1:6" ht="43.2" x14ac:dyDescent="0.3">
      <c r="A1228" s="2">
        <v>1227</v>
      </c>
      <c r="B1228" s="1" t="s">
        <v>2584</v>
      </c>
      <c r="C1228" s="1" t="s">
        <v>2585</v>
      </c>
      <c r="D1228" s="1" t="s">
        <v>2586</v>
      </c>
      <c r="E1228" s="1" t="s">
        <v>2587</v>
      </c>
      <c r="F1228" s="1" t="str">
        <f>HYPERLINK("https://talan.bank.gov.ua/get-user-certificate/J53254kOuZpiMNLwUHnW","Завантажити сертифікат")</f>
        <v>Завантажити сертифікат</v>
      </c>
    </row>
    <row r="1229" spans="1:6" ht="43.2" x14ac:dyDescent="0.3">
      <c r="A1229" s="2">
        <v>1228</v>
      </c>
      <c r="B1229" s="1" t="s">
        <v>2588</v>
      </c>
      <c r="C1229" s="1" t="s">
        <v>2585</v>
      </c>
      <c r="D1229" s="1" t="s">
        <v>2586</v>
      </c>
      <c r="E1229" s="1" t="s">
        <v>2589</v>
      </c>
      <c r="F1229" s="1" t="str">
        <f>HYPERLINK("https://talan.bank.gov.ua/get-user-certificate/J532533lndxtrh9gzrP8","Завантажити сертифікат")</f>
        <v>Завантажити сертифікат</v>
      </c>
    </row>
    <row r="1230" spans="1:6" ht="43.2" x14ac:dyDescent="0.3">
      <c r="A1230" s="2">
        <v>1229</v>
      </c>
      <c r="B1230" s="1" t="s">
        <v>2590</v>
      </c>
      <c r="C1230" s="1" t="s">
        <v>2585</v>
      </c>
      <c r="D1230" s="1" t="s">
        <v>2586</v>
      </c>
      <c r="E1230" s="1" t="s">
        <v>2591</v>
      </c>
      <c r="F1230" s="1" t="str">
        <f>HYPERLINK("https://talan.bank.gov.ua/get-user-certificate/J5325kCCpJ9I2hq7CXVI","Завантажити сертифікат")</f>
        <v>Завантажити сертифікат</v>
      </c>
    </row>
    <row r="1231" spans="1:6" ht="43.2" x14ac:dyDescent="0.3">
      <c r="A1231" s="2">
        <v>1230</v>
      </c>
      <c r="B1231" s="1" t="s">
        <v>2592</v>
      </c>
      <c r="C1231" s="1" t="s">
        <v>2585</v>
      </c>
      <c r="D1231" s="1" t="s">
        <v>2586</v>
      </c>
      <c r="E1231" s="1" t="s">
        <v>2593</v>
      </c>
      <c r="F1231" s="1" t="str">
        <f>HYPERLINK("https://talan.bank.gov.ua/get-user-certificate/J5325p3IJVqp03Go1XO9","Завантажити сертифікат")</f>
        <v>Завантажити сертифікат</v>
      </c>
    </row>
    <row r="1232" spans="1:6" ht="28.8" x14ac:dyDescent="0.3">
      <c r="A1232" s="2">
        <v>1231</v>
      </c>
      <c r="B1232" s="1" t="s">
        <v>2594</v>
      </c>
      <c r="C1232" s="1" t="s">
        <v>2595</v>
      </c>
      <c r="D1232" s="1" t="s">
        <v>2596</v>
      </c>
      <c r="E1232" s="1" t="s">
        <v>2597</v>
      </c>
      <c r="F1232" s="1" t="str">
        <f>HYPERLINK("https://talan.bank.gov.ua/get-user-certificate/J5325lVfqGan_nkNtxxV","Завантажити сертифікат")</f>
        <v>Завантажити сертифікат</v>
      </c>
    </row>
    <row r="1233" spans="1:6" ht="28.8" x14ac:dyDescent="0.3">
      <c r="A1233" s="2">
        <v>1232</v>
      </c>
      <c r="B1233" s="1" t="s">
        <v>2598</v>
      </c>
      <c r="C1233" s="1" t="s">
        <v>2595</v>
      </c>
      <c r="D1233" s="1" t="s">
        <v>2596</v>
      </c>
      <c r="E1233" s="1" t="s">
        <v>2599</v>
      </c>
      <c r="F1233" s="1" t="str">
        <f>HYPERLINK("https://talan.bank.gov.ua/get-user-certificate/J53250z_l3Nh1lWxcadN","Завантажити сертифікат")</f>
        <v>Завантажити сертифікат</v>
      </c>
    </row>
    <row r="1234" spans="1:6" ht="28.8" x14ac:dyDescent="0.3">
      <c r="A1234" s="2">
        <v>1233</v>
      </c>
      <c r="B1234" s="1" t="s">
        <v>2600</v>
      </c>
      <c r="C1234" s="1" t="s">
        <v>2595</v>
      </c>
      <c r="D1234" s="1" t="s">
        <v>2596</v>
      </c>
      <c r="E1234" s="1" t="s">
        <v>2601</v>
      </c>
      <c r="F1234" s="1" t="str">
        <f>HYPERLINK("https://talan.bank.gov.ua/get-user-certificate/J5325nkg9WnAKcRznQ8G","Завантажити сертифікат")</f>
        <v>Завантажити сертифікат</v>
      </c>
    </row>
    <row r="1235" spans="1:6" ht="28.8" x14ac:dyDescent="0.3">
      <c r="A1235" s="2">
        <v>1234</v>
      </c>
      <c r="B1235" s="1" t="s">
        <v>2602</v>
      </c>
      <c r="C1235" s="1" t="s">
        <v>2595</v>
      </c>
      <c r="D1235" s="1" t="s">
        <v>2596</v>
      </c>
      <c r="E1235" s="1" t="s">
        <v>2603</v>
      </c>
      <c r="F1235" s="1" t="str">
        <f>HYPERLINK("https://talan.bank.gov.ua/get-user-certificate/J5325TtytVke-A1PTVnk","Завантажити сертифікат")</f>
        <v>Завантажити сертифікат</v>
      </c>
    </row>
    <row r="1236" spans="1:6" ht="28.8" x14ac:dyDescent="0.3">
      <c r="A1236" s="2">
        <v>1235</v>
      </c>
      <c r="B1236" s="1" t="s">
        <v>2604</v>
      </c>
      <c r="C1236" s="1" t="s">
        <v>2595</v>
      </c>
      <c r="D1236" s="1" t="s">
        <v>2596</v>
      </c>
      <c r="E1236" s="1" t="s">
        <v>2605</v>
      </c>
      <c r="F1236" s="1" t="str">
        <f>HYPERLINK("https://talan.bank.gov.ua/get-user-certificate/J5325Jm1x5-eWfBEftlU","Завантажити сертифікат")</f>
        <v>Завантажити сертифікат</v>
      </c>
    </row>
    <row r="1237" spans="1:6" ht="28.8" x14ac:dyDescent="0.3">
      <c r="A1237" s="2">
        <v>1236</v>
      </c>
      <c r="B1237" s="1" t="s">
        <v>2606</v>
      </c>
      <c r="C1237" s="1" t="s">
        <v>2595</v>
      </c>
      <c r="D1237" s="1" t="s">
        <v>2596</v>
      </c>
      <c r="E1237" s="1" t="s">
        <v>2607</v>
      </c>
      <c r="F1237" s="1" t="str">
        <f>HYPERLINK("https://talan.bank.gov.ua/get-user-certificate/J5325Epk7zIIJUl79fn-","Завантажити сертифікат")</f>
        <v>Завантажити сертифікат</v>
      </c>
    </row>
    <row r="1238" spans="1:6" ht="28.8" x14ac:dyDescent="0.3">
      <c r="A1238" s="2">
        <v>1237</v>
      </c>
      <c r="B1238" s="1" t="s">
        <v>2608</v>
      </c>
      <c r="C1238" s="1" t="s">
        <v>2595</v>
      </c>
      <c r="D1238" s="1" t="s">
        <v>2596</v>
      </c>
      <c r="E1238" s="1" t="s">
        <v>2609</v>
      </c>
      <c r="F1238" s="1" t="str">
        <f>HYPERLINK("https://talan.bank.gov.ua/get-user-certificate/J53252Wmc8JKD4KOveFA","Завантажити сертифікат")</f>
        <v>Завантажити сертифікат</v>
      </c>
    </row>
    <row r="1239" spans="1:6" ht="28.8" x14ac:dyDescent="0.3">
      <c r="A1239" s="2">
        <v>1238</v>
      </c>
      <c r="B1239" s="1" t="s">
        <v>2610</v>
      </c>
      <c r="C1239" s="1" t="s">
        <v>2595</v>
      </c>
      <c r="D1239" s="1" t="s">
        <v>2596</v>
      </c>
      <c r="E1239" s="1" t="s">
        <v>2611</v>
      </c>
      <c r="F1239" s="1" t="str">
        <f>HYPERLINK("https://talan.bank.gov.ua/get-user-certificate/J5325DtKpaL53FbpjeaY","Завантажити сертифікат")</f>
        <v>Завантажити сертифікат</v>
      </c>
    </row>
    <row r="1240" spans="1:6" ht="28.8" x14ac:dyDescent="0.3">
      <c r="A1240" s="2">
        <v>1239</v>
      </c>
      <c r="B1240" s="1" t="s">
        <v>2612</v>
      </c>
      <c r="C1240" s="1" t="s">
        <v>2613</v>
      </c>
      <c r="D1240" s="1" t="s">
        <v>2614</v>
      </c>
      <c r="E1240" s="1" t="s">
        <v>2615</v>
      </c>
      <c r="F1240" s="1" t="str">
        <f>HYPERLINK("https://talan.bank.gov.ua/get-user-certificate/J5325gstQKxHQzyH3XfR","Завантажити сертифікат")</f>
        <v>Завантажити сертифікат</v>
      </c>
    </row>
    <row r="1241" spans="1:6" ht="28.8" x14ac:dyDescent="0.3">
      <c r="A1241" s="2">
        <v>1240</v>
      </c>
      <c r="B1241" s="1" t="s">
        <v>2616</v>
      </c>
      <c r="C1241" s="1" t="s">
        <v>2613</v>
      </c>
      <c r="D1241" s="1" t="s">
        <v>2614</v>
      </c>
      <c r="E1241" s="1" t="s">
        <v>2617</v>
      </c>
      <c r="F1241" s="1" t="str">
        <f>HYPERLINK("https://talan.bank.gov.ua/get-user-certificate/J5325F1QY1XWN_eIfN-w","Завантажити сертифікат")</f>
        <v>Завантажити сертифікат</v>
      </c>
    </row>
    <row r="1242" spans="1:6" ht="28.8" x14ac:dyDescent="0.3">
      <c r="A1242" s="2">
        <v>1241</v>
      </c>
      <c r="B1242" s="1" t="s">
        <v>2618</v>
      </c>
      <c r="C1242" s="1" t="s">
        <v>2613</v>
      </c>
      <c r="D1242" s="1" t="s">
        <v>2614</v>
      </c>
      <c r="E1242" s="1" t="s">
        <v>2619</v>
      </c>
      <c r="F1242" s="1" t="str">
        <f>HYPERLINK("https://talan.bank.gov.ua/get-user-certificate/J53251YTfzLXpMyzYVd5","Завантажити сертифікат")</f>
        <v>Завантажити сертифікат</v>
      </c>
    </row>
    <row r="1243" spans="1:6" ht="28.8" x14ac:dyDescent="0.3">
      <c r="A1243" s="2">
        <v>1242</v>
      </c>
      <c r="B1243" s="1" t="s">
        <v>2620</v>
      </c>
      <c r="C1243" s="1" t="s">
        <v>2613</v>
      </c>
      <c r="D1243" s="1" t="s">
        <v>2614</v>
      </c>
      <c r="E1243" s="1" t="s">
        <v>2621</v>
      </c>
      <c r="F1243" s="1" t="str">
        <f>HYPERLINK("https://talan.bank.gov.ua/get-user-certificate/J5325kR7ndWRjm8hLLPs","Завантажити сертифікат")</f>
        <v>Завантажити сертифікат</v>
      </c>
    </row>
    <row r="1244" spans="1:6" ht="28.8" x14ac:dyDescent="0.3">
      <c r="A1244" s="2">
        <v>1243</v>
      </c>
      <c r="B1244" s="1" t="s">
        <v>2622</v>
      </c>
      <c r="C1244" s="1" t="s">
        <v>2613</v>
      </c>
      <c r="D1244" s="1" t="s">
        <v>2614</v>
      </c>
      <c r="E1244" s="1" t="s">
        <v>2623</v>
      </c>
      <c r="F1244" s="1" t="str">
        <f>HYPERLINK("https://talan.bank.gov.ua/get-user-certificate/J5325uHkulFUoiRyKrib","Завантажити сертифікат")</f>
        <v>Завантажити сертифікат</v>
      </c>
    </row>
    <row r="1245" spans="1:6" x14ac:dyDescent="0.3">
      <c r="A1245" s="2">
        <v>1244</v>
      </c>
      <c r="B1245" s="1" t="s">
        <v>2624</v>
      </c>
      <c r="C1245" s="1" t="s">
        <v>2625</v>
      </c>
      <c r="D1245" s="1" t="s">
        <v>2626</v>
      </c>
      <c r="E1245" s="1" t="s">
        <v>2627</v>
      </c>
      <c r="F1245" s="1" t="str">
        <f>HYPERLINK("https://talan.bank.gov.ua/get-user-certificate/J5325e6hyA4gOX-94wqW","Завантажити сертифікат")</f>
        <v>Завантажити сертифікат</v>
      </c>
    </row>
    <row r="1246" spans="1:6" x14ac:dyDescent="0.3">
      <c r="A1246" s="2">
        <v>1245</v>
      </c>
      <c r="B1246" s="1" t="s">
        <v>2628</v>
      </c>
      <c r="C1246" s="1" t="s">
        <v>2625</v>
      </c>
      <c r="D1246" s="1" t="s">
        <v>2626</v>
      </c>
      <c r="E1246" s="1" t="s">
        <v>2629</v>
      </c>
      <c r="F1246" s="1" t="str">
        <f>HYPERLINK("https://talan.bank.gov.ua/get-user-certificate/J5325iY9BTHyYPGzXizl","Завантажити сертифікат")</f>
        <v>Завантажити сертифікат</v>
      </c>
    </row>
    <row r="1247" spans="1:6" x14ac:dyDescent="0.3">
      <c r="A1247" s="2">
        <v>1246</v>
      </c>
      <c r="B1247" s="1" t="s">
        <v>2630</v>
      </c>
      <c r="C1247" s="1" t="s">
        <v>2625</v>
      </c>
      <c r="D1247" s="1" t="s">
        <v>2626</v>
      </c>
      <c r="E1247" s="1" t="s">
        <v>2631</v>
      </c>
      <c r="F1247" s="1" t="str">
        <f>HYPERLINK("https://talan.bank.gov.ua/get-user-certificate/J5325mXtOQgtTF_pDIS1","Завантажити сертифікат")</f>
        <v>Завантажити сертифікат</v>
      </c>
    </row>
    <row r="1248" spans="1:6" x14ac:dyDescent="0.3">
      <c r="A1248" s="2">
        <v>1247</v>
      </c>
      <c r="B1248" s="1" t="s">
        <v>2632</v>
      </c>
      <c r="C1248" s="1" t="s">
        <v>2625</v>
      </c>
      <c r="D1248" s="1" t="s">
        <v>2626</v>
      </c>
      <c r="E1248" s="1" t="s">
        <v>2633</v>
      </c>
      <c r="F1248" s="1" t="str">
        <f>HYPERLINK("https://talan.bank.gov.ua/get-user-certificate/J5325g_RPkFbz6UBXHEZ","Завантажити сертифікат")</f>
        <v>Завантажити сертифікат</v>
      </c>
    </row>
    <row r="1249" spans="1:6" x14ac:dyDescent="0.3">
      <c r="A1249" s="2">
        <v>1248</v>
      </c>
      <c r="B1249" s="1" t="s">
        <v>2634</v>
      </c>
      <c r="C1249" s="1" t="s">
        <v>2625</v>
      </c>
      <c r="D1249" s="1" t="s">
        <v>2626</v>
      </c>
      <c r="E1249" s="1" t="s">
        <v>2635</v>
      </c>
      <c r="F1249" s="1" t="str">
        <f>HYPERLINK("https://talan.bank.gov.ua/get-user-certificate/J53259FEehGnT851YwzH","Завантажити сертифікат")</f>
        <v>Завантажити сертифікат</v>
      </c>
    </row>
    <row r="1250" spans="1:6" x14ac:dyDescent="0.3">
      <c r="A1250" s="2">
        <v>1249</v>
      </c>
      <c r="B1250" s="1" t="s">
        <v>2636</v>
      </c>
      <c r="C1250" s="1" t="s">
        <v>2625</v>
      </c>
      <c r="D1250" s="1" t="s">
        <v>2626</v>
      </c>
      <c r="E1250" s="1" t="s">
        <v>2637</v>
      </c>
      <c r="F1250" s="1" t="str">
        <f>HYPERLINK("https://talan.bank.gov.ua/get-user-certificate/J5325VMGnPS46IA34-Y0","Завантажити сертифікат")</f>
        <v>Завантажити сертифікат</v>
      </c>
    </row>
    <row r="1251" spans="1:6" x14ac:dyDescent="0.3">
      <c r="A1251" s="2">
        <v>1250</v>
      </c>
      <c r="B1251" s="1" t="s">
        <v>2638</v>
      </c>
      <c r="C1251" s="1" t="s">
        <v>2625</v>
      </c>
      <c r="D1251" s="1" t="s">
        <v>2626</v>
      </c>
      <c r="E1251" s="1" t="s">
        <v>2639</v>
      </c>
      <c r="F1251" s="1" t="str">
        <f>HYPERLINK("https://talan.bank.gov.ua/get-user-certificate/J5325s8Og-I5CuAWW97V","Завантажити сертифікат")</f>
        <v>Завантажити сертифікат</v>
      </c>
    </row>
    <row r="1252" spans="1:6" x14ac:dyDescent="0.3">
      <c r="A1252" s="2">
        <v>1251</v>
      </c>
      <c r="B1252" s="1" t="s">
        <v>2640</v>
      </c>
      <c r="C1252" s="1" t="s">
        <v>2625</v>
      </c>
      <c r="D1252" s="1" t="s">
        <v>2626</v>
      </c>
      <c r="E1252" s="1" t="s">
        <v>2641</v>
      </c>
      <c r="F1252" s="1" t="str">
        <f>HYPERLINK("https://talan.bank.gov.ua/get-user-certificate/J53255zDhfs7jBU9YRz-","Завантажити сертифікат")</f>
        <v>Завантажити сертифікат</v>
      </c>
    </row>
    <row r="1253" spans="1:6" x14ac:dyDescent="0.3">
      <c r="A1253" s="2">
        <v>1252</v>
      </c>
      <c r="B1253" s="1" t="s">
        <v>2642</v>
      </c>
      <c r="C1253" s="1" t="s">
        <v>2625</v>
      </c>
      <c r="D1253" s="1" t="s">
        <v>2626</v>
      </c>
      <c r="E1253" s="1" t="s">
        <v>2643</v>
      </c>
      <c r="F1253" s="1" t="str">
        <f>HYPERLINK("https://talan.bank.gov.ua/get-user-certificate/J5325AtgRWoJzGbFoB9I","Завантажити сертифікат")</f>
        <v>Завантажити сертифікат</v>
      </c>
    </row>
    <row r="1254" spans="1:6" x14ac:dyDescent="0.3">
      <c r="A1254" s="2">
        <v>1253</v>
      </c>
      <c r="B1254" s="1" t="s">
        <v>2644</v>
      </c>
      <c r="C1254" s="1" t="s">
        <v>2625</v>
      </c>
      <c r="D1254" s="1" t="s">
        <v>2626</v>
      </c>
      <c r="E1254" s="1" t="s">
        <v>2645</v>
      </c>
      <c r="F1254" s="1" t="str">
        <f>HYPERLINK("https://talan.bank.gov.ua/get-user-certificate/J5325hpvu0PvrDy5ooHV","Завантажити сертифікат")</f>
        <v>Завантажити сертифікат</v>
      </c>
    </row>
    <row r="1255" spans="1:6" x14ac:dyDescent="0.3">
      <c r="A1255" s="2">
        <v>1254</v>
      </c>
      <c r="B1255" s="1" t="s">
        <v>2646</v>
      </c>
      <c r="C1255" s="1" t="s">
        <v>2625</v>
      </c>
      <c r="D1255" s="1" t="s">
        <v>2626</v>
      </c>
      <c r="E1255" s="1" t="s">
        <v>2647</v>
      </c>
      <c r="F1255" s="1" t="str">
        <f>HYPERLINK("https://talan.bank.gov.ua/get-user-certificate/J5325sg_pC9jq5tY9N60","Завантажити сертифікат")</f>
        <v>Завантажити сертифікат</v>
      </c>
    </row>
    <row r="1256" spans="1:6" x14ac:dyDescent="0.3">
      <c r="A1256" s="2">
        <v>1255</v>
      </c>
      <c r="B1256" s="1" t="s">
        <v>2648</v>
      </c>
      <c r="C1256" s="1" t="s">
        <v>2625</v>
      </c>
      <c r="D1256" s="1" t="s">
        <v>2626</v>
      </c>
      <c r="E1256" s="1" t="s">
        <v>2649</v>
      </c>
      <c r="F1256" s="1" t="str">
        <f>HYPERLINK("https://talan.bank.gov.ua/get-user-certificate/J5325TiDBXeUAaeaieXd","Завантажити сертифікат")</f>
        <v>Завантажити сертифікат</v>
      </c>
    </row>
    <row r="1257" spans="1:6" x14ac:dyDescent="0.3">
      <c r="A1257" s="2">
        <v>1256</v>
      </c>
      <c r="B1257" s="1" t="s">
        <v>2650</v>
      </c>
      <c r="C1257" s="1" t="s">
        <v>2625</v>
      </c>
      <c r="D1257" s="1" t="s">
        <v>2626</v>
      </c>
      <c r="E1257" s="1" t="s">
        <v>2651</v>
      </c>
      <c r="F1257" s="1" t="str">
        <f>HYPERLINK("https://talan.bank.gov.ua/get-user-certificate/J5325AWXrZppP8fd2gRP","Завантажити сертифікат")</f>
        <v>Завантажити сертифікат</v>
      </c>
    </row>
    <row r="1258" spans="1:6" x14ac:dyDescent="0.3">
      <c r="A1258" s="2">
        <v>1257</v>
      </c>
      <c r="B1258" s="1" t="s">
        <v>2652</v>
      </c>
      <c r="C1258" s="1" t="s">
        <v>2625</v>
      </c>
      <c r="D1258" s="1" t="s">
        <v>2626</v>
      </c>
      <c r="E1258" s="1" t="s">
        <v>2653</v>
      </c>
      <c r="F1258" s="1" t="str">
        <f>HYPERLINK("https://talan.bank.gov.ua/get-user-certificate/J5325ELYVyfgqHQ3fjnh","Завантажити сертифікат")</f>
        <v>Завантажити сертифікат</v>
      </c>
    </row>
    <row r="1259" spans="1:6" x14ac:dyDescent="0.3">
      <c r="A1259" s="2">
        <v>1258</v>
      </c>
      <c r="B1259" s="1" t="s">
        <v>2654</v>
      </c>
      <c r="C1259" s="1" t="s">
        <v>2625</v>
      </c>
      <c r="D1259" s="1" t="s">
        <v>2626</v>
      </c>
      <c r="E1259" s="1" t="s">
        <v>2655</v>
      </c>
      <c r="F1259" s="1" t="str">
        <f>HYPERLINK("https://talan.bank.gov.ua/get-user-certificate/J5325vtgcAkMRXeQbNNB","Завантажити сертифікат")</f>
        <v>Завантажити сертифікат</v>
      </c>
    </row>
    <row r="1260" spans="1:6" x14ac:dyDescent="0.3">
      <c r="A1260" s="2">
        <v>1259</v>
      </c>
      <c r="B1260" s="1" t="s">
        <v>2656</v>
      </c>
      <c r="C1260" s="1" t="s">
        <v>2625</v>
      </c>
      <c r="D1260" s="1" t="s">
        <v>2626</v>
      </c>
      <c r="E1260" s="1" t="s">
        <v>2657</v>
      </c>
      <c r="F1260" s="1" t="str">
        <f>HYPERLINK("https://talan.bank.gov.ua/get-user-certificate/J5325tc6P0LlbqQs2-XY","Завантажити сертифікат")</f>
        <v>Завантажити сертифікат</v>
      </c>
    </row>
    <row r="1261" spans="1:6" x14ac:dyDescent="0.3">
      <c r="A1261" s="2">
        <v>1260</v>
      </c>
      <c r="B1261" s="1" t="s">
        <v>2658</v>
      </c>
      <c r="C1261" s="1" t="s">
        <v>2625</v>
      </c>
      <c r="D1261" s="1" t="s">
        <v>2626</v>
      </c>
      <c r="E1261" s="1" t="s">
        <v>2659</v>
      </c>
      <c r="F1261" s="1" t="str">
        <f>HYPERLINK("https://talan.bank.gov.ua/get-user-certificate/J5325hA_dfcDWzbI0hDS","Завантажити сертифікат")</f>
        <v>Завантажити сертифікат</v>
      </c>
    </row>
    <row r="1262" spans="1:6" x14ac:dyDescent="0.3">
      <c r="A1262" s="2">
        <v>1261</v>
      </c>
      <c r="B1262" s="1" t="s">
        <v>2660</v>
      </c>
      <c r="C1262" s="1" t="s">
        <v>2625</v>
      </c>
      <c r="D1262" s="1" t="s">
        <v>2626</v>
      </c>
      <c r="E1262" s="1" t="s">
        <v>2661</v>
      </c>
      <c r="F1262" s="1" t="str">
        <f>HYPERLINK("https://talan.bank.gov.ua/get-user-certificate/J5325JriF_-xZfyffyAD","Завантажити сертифікат")</f>
        <v>Завантажити сертифікат</v>
      </c>
    </row>
    <row r="1263" spans="1:6" ht="28.8" x14ac:dyDescent="0.3">
      <c r="A1263" s="2">
        <v>1262</v>
      </c>
      <c r="B1263" s="1" t="s">
        <v>2662</v>
      </c>
      <c r="C1263" s="1" t="s">
        <v>2663</v>
      </c>
      <c r="D1263" s="1" t="s">
        <v>2664</v>
      </c>
      <c r="E1263" s="1" t="s">
        <v>2665</v>
      </c>
      <c r="F1263" s="1" t="str">
        <f>HYPERLINK("https://talan.bank.gov.ua/get-user-certificate/J5325jMbgSBeLgfHZAOs","Завантажити сертифікат")</f>
        <v>Завантажити сертифікат</v>
      </c>
    </row>
    <row r="1264" spans="1:6" ht="28.8" x14ac:dyDescent="0.3">
      <c r="A1264" s="2">
        <v>1263</v>
      </c>
      <c r="B1264" s="1" t="s">
        <v>2666</v>
      </c>
      <c r="C1264" s="1" t="s">
        <v>2663</v>
      </c>
      <c r="D1264" s="1" t="s">
        <v>2664</v>
      </c>
      <c r="E1264" s="1" t="s">
        <v>2667</v>
      </c>
      <c r="F1264" s="1" t="str">
        <f>HYPERLINK("https://talan.bank.gov.ua/get-user-certificate/J5325724Lpi5WN3B8pTv","Завантажити сертифікат")</f>
        <v>Завантажити сертифікат</v>
      </c>
    </row>
    <row r="1265" spans="1:6" ht="28.8" x14ac:dyDescent="0.3">
      <c r="A1265" s="2">
        <v>1264</v>
      </c>
      <c r="B1265" s="1" t="s">
        <v>2668</v>
      </c>
      <c r="C1265" s="1" t="s">
        <v>2663</v>
      </c>
      <c r="D1265" s="1" t="s">
        <v>2664</v>
      </c>
      <c r="E1265" s="1" t="s">
        <v>2669</v>
      </c>
      <c r="F1265" s="1" t="str">
        <f>HYPERLINK("https://talan.bank.gov.ua/get-user-certificate/J53253YwGfUOwUNpXkwK","Завантажити сертифікат")</f>
        <v>Завантажити сертифікат</v>
      </c>
    </row>
    <row r="1266" spans="1:6" ht="28.8" x14ac:dyDescent="0.3">
      <c r="A1266" s="2">
        <v>1265</v>
      </c>
      <c r="B1266" s="1" t="s">
        <v>2670</v>
      </c>
      <c r="C1266" s="1" t="s">
        <v>2663</v>
      </c>
      <c r="D1266" s="1" t="s">
        <v>2664</v>
      </c>
      <c r="E1266" s="1" t="s">
        <v>2671</v>
      </c>
      <c r="F1266" s="1" t="str">
        <f>HYPERLINK("https://talan.bank.gov.ua/get-user-certificate/J5325-Lhdkoi_RkOuflP","Завантажити сертифікат")</f>
        <v>Завантажити сертифікат</v>
      </c>
    </row>
    <row r="1267" spans="1:6" ht="28.8" x14ac:dyDescent="0.3">
      <c r="A1267" s="2">
        <v>1266</v>
      </c>
      <c r="B1267" s="1" t="s">
        <v>2672</v>
      </c>
      <c r="C1267" s="1" t="s">
        <v>2663</v>
      </c>
      <c r="D1267" s="1" t="s">
        <v>2664</v>
      </c>
      <c r="E1267" s="1" t="s">
        <v>2673</v>
      </c>
      <c r="F1267" s="1" t="str">
        <f>HYPERLINK("https://talan.bank.gov.ua/get-user-certificate/J53250bW5exfhSl8irFf","Завантажити сертифікат")</f>
        <v>Завантажити сертифікат</v>
      </c>
    </row>
    <row r="1268" spans="1:6" ht="28.8" x14ac:dyDescent="0.3">
      <c r="A1268" s="2">
        <v>1267</v>
      </c>
      <c r="B1268" s="1" t="s">
        <v>2674</v>
      </c>
      <c r="C1268" s="1" t="s">
        <v>2663</v>
      </c>
      <c r="D1268" s="1" t="s">
        <v>2664</v>
      </c>
      <c r="E1268" s="1" t="s">
        <v>2675</v>
      </c>
      <c r="F1268" s="1" t="str">
        <f>HYPERLINK("https://talan.bank.gov.ua/get-user-certificate/J5325poYla6TNEOHVuLB","Завантажити сертифікат")</f>
        <v>Завантажити сертифікат</v>
      </c>
    </row>
    <row r="1269" spans="1:6" ht="28.8" x14ac:dyDescent="0.3">
      <c r="A1269" s="2">
        <v>1268</v>
      </c>
      <c r="B1269" s="1" t="s">
        <v>2676</v>
      </c>
      <c r="C1269" s="1" t="s">
        <v>2663</v>
      </c>
      <c r="D1269" s="1" t="s">
        <v>2664</v>
      </c>
      <c r="E1269" s="1" t="s">
        <v>2677</v>
      </c>
      <c r="F1269" s="1" t="str">
        <f>HYPERLINK("https://talan.bank.gov.ua/get-user-certificate/J53255YsyEctpNHXfPXb","Завантажити сертифікат")</f>
        <v>Завантажити сертифікат</v>
      </c>
    </row>
    <row r="1270" spans="1:6" ht="28.8" x14ac:dyDescent="0.3">
      <c r="A1270" s="2">
        <v>1269</v>
      </c>
      <c r="B1270" s="1" t="s">
        <v>2678</v>
      </c>
      <c r="C1270" s="1" t="s">
        <v>2663</v>
      </c>
      <c r="D1270" s="1" t="s">
        <v>2664</v>
      </c>
      <c r="E1270" s="1" t="s">
        <v>2679</v>
      </c>
      <c r="F1270" s="1" t="str">
        <f>HYPERLINK("https://talan.bank.gov.ua/get-user-certificate/J5325JPjTYPFtOqBmenc","Завантажити сертифікат")</f>
        <v>Завантажити сертифікат</v>
      </c>
    </row>
    <row r="1271" spans="1:6" ht="28.8" x14ac:dyDescent="0.3">
      <c r="A1271" s="2">
        <v>1270</v>
      </c>
      <c r="B1271" s="1" t="s">
        <v>2680</v>
      </c>
      <c r="C1271" s="1" t="s">
        <v>2663</v>
      </c>
      <c r="D1271" s="1" t="s">
        <v>2664</v>
      </c>
      <c r="E1271" s="1" t="s">
        <v>2681</v>
      </c>
      <c r="F1271" s="1" t="str">
        <f>HYPERLINK("https://talan.bank.gov.ua/get-user-certificate/J5325VSGSPLQ7LLemcuC","Завантажити сертифікат")</f>
        <v>Завантажити сертифікат</v>
      </c>
    </row>
    <row r="1272" spans="1:6" ht="28.8" x14ac:dyDescent="0.3">
      <c r="A1272" s="2">
        <v>1271</v>
      </c>
      <c r="B1272" s="1" t="s">
        <v>2682</v>
      </c>
      <c r="C1272" s="1" t="s">
        <v>2663</v>
      </c>
      <c r="D1272" s="1" t="s">
        <v>2664</v>
      </c>
      <c r="E1272" s="1" t="s">
        <v>2683</v>
      </c>
      <c r="F1272" s="1" t="str">
        <f>HYPERLINK("https://talan.bank.gov.ua/get-user-certificate/J5325TjP9fVz4pONvzbB","Завантажити сертифікат")</f>
        <v>Завантажити сертифікат</v>
      </c>
    </row>
    <row r="1273" spans="1:6" ht="28.8" x14ac:dyDescent="0.3">
      <c r="A1273" s="2">
        <v>1272</v>
      </c>
      <c r="B1273" s="1" t="s">
        <v>2684</v>
      </c>
      <c r="C1273" s="1" t="s">
        <v>2663</v>
      </c>
      <c r="D1273" s="1" t="s">
        <v>2664</v>
      </c>
      <c r="E1273" s="1" t="s">
        <v>2685</v>
      </c>
      <c r="F1273" s="1" t="str">
        <f>HYPERLINK("https://talan.bank.gov.ua/get-user-certificate/J5325L5u_kr66qiRRp-P","Завантажити сертифікат")</f>
        <v>Завантажити сертифікат</v>
      </c>
    </row>
    <row r="1274" spans="1:6" ht="28.8" x14ac:dyDescent="0.3">
      <c r="A1274" s="2">
        <v>1273</v>
      </c>
      <c r="B1274" s="1" t="s">
        <v>2686</v>
      </c>
      <c r="C1274" s="1" t="s">
        <v>2663</v>
      </c>
      <c r="D1274" s="1" t="s">
        <v>2664</v>
      </c>
      <c r="E1274" s="1" t="s">
        <v>2687</v>
      </c>
      <c r="F1274" s="1" t="str">
        <f>HYPERLINK("https://talan.bank.gov.ua/get-user-certificate/J5325Py5gbzEjoFhLjuj","Завантажити сертифікат")</f>
        <v>Завантажити сертифікат</v>
      </c>
    </row>
    <row r="1275" spans="1:6" ht="28.8" x14ac:dyDescent="0.3">
      <c r="A1275" s="2">
        <v>1274</v>
      </c>
      <c r="B1275" s="1" t="s">
        <v>2688</v>
      </c>
      <c r="C1275" s="1" t="s">
        <v>2663</v>
      </c>
      <c r="D1275" s="1" t="s">
        <v>2664</v>
      </c>
      <c r="E1275" s="1" t="s">
        <v>2689</v>
      </c>
      <c r="F1275" s="1" t="str">
        <f>HYPERLINK("https://talan.bank.gov.ua/get-user-certificate/J5325xkAj-q7-3RIL_ps","Завантажити сертифікат")</f>
        <v>Завантажити сертифікат</v>
      </c>
    </row>
    <row r="1276" spans="1:6" ht="28.8" x14ac:dyDescent="0.3">
      <c r="A1276" s="2">
        <v>1275</v>
      </c>
      <c r="B1276" s="1" t="s">
        <v>2690</v>
      </c>
      <c r="C1276" s="1" t="s">
        <v>2663</v>
      </c>
      <c r="D1276" s="1" t="s">
        <v>2664</v>
      </c>
      <c r="E1276" s="1" t="s">
        <v>2691</v>
      </c>
      <c r="F1276" s="1" t="str">
        <f>HYPERLINK("https://talan.bank.gov.ua/get-user-certificate/J5325g4RqbejAFKFaoUn","Завантажити сертифікат")</f>
        <v>Завантажити сертифікат</v>
      </c>
    </row>
    <row r="1277" spans="1:6" ht="28.8" x14ac:dyDescent="0.3">
      <c r="A1277" s="2">
        <v>1276</v>
      </c>
      <c r="B1277" s="1" t="s">
        <v>2692</v>
      </c>
      <c r="C1277" s="1" t="s">
        <v>2663</v>
      </c>
      <c r="D1277" s="1" t="s">
        <v>2664</v>
      </c>
      <c r="E1277" s="1" t="s">
        <v>2693</v>
      </c>
      <c r="F1277" s="1" t="str">
        <f>HYPERLINK("https://talan.bank.gov.ua/get-user-certificate/J53257i840v-Y1Ny35SO","Завантажити сертифікат")</f>
        <v>Завантажити сертифікат</v>
      </c>
    </row>
    <row r="1278" spans="1:6" ht="28.8" x14ac:dyDescent="0.3">
      <c r="A1278" s="2">
        <v>1277</v>
      </c>
      <c r="B1278" s="1" t="s">
        <v>2694</v>
      </c>
      <c r="C1278" s="1" t="s">
        <v>2663</v>
      </c>
      <c r="D1278" s="1" t="s">
        <v>2664</v>
      </c>
      <c r="E1278" s="1" t="s">
        <v>2695</v>
      </c>
      <c r="F1278" s="1" t="str">
        <f>HYPERLINK("https://talan.bank.gov.ua/get-user-certificate/J5325PmK7nE-6w2X61dN","Завантажити сертифікат")</f>
        <v>Завантажити сертифікат</v>
      </c>
    </row>
    <row r="1279" spans="1:6" ht="28.8" x14ac:dyDescent="0.3">
      <c r="A1279" s="2">
        <v>1278</v>
      </c>
      <c r="B1279" s="1" t="s">
        <v>2696</v>
      </c>
      <c r="C1279" s="1" t="s">
        <v>2663</v>
      </c>
      <c r="D1279" s="1" t="s">
        <v>2664</v>
      </c>
      <c r="E1279" s="1" t="s">
        <v>2697</v>
      </c>
      <c r="F1279" s="1" t="str">
        <f>HYPERLINK("https://talan.bank.gov.ua/get-user-certificate/J53255oE8YQWzoJ6UXl3","Завантажити сертифікат")</f>
        <v>Завантажити сертифікат</v>
      </c>
    </row>
    <row r="1280" spans="1:6" x14ac:dyDescent="0.3">
      <c r="A1280" s="2">
        <v>1279</v>
      </c>
      <c r="B1280" s="1" t="s">
        <v>2698</v>
      </c>
      <c r="C1280" s="1" t="s">
        <v>2699</v>
      </c>
      <c r="D1280" s="1" t="s">
        <v>2700</v>
      </c>
      <c r="E1280" s="1" t="s">
        <v>2701</v>
      </c>
      <c r="F1280" s="1" t="str">
        <f>HYPERLINK("https://talan.bank.gov.ua/get-user-certificate/J53253-6MT2OCtOm7rrB","Завантажити сертифікат")</f>
        <v>Завантажити сертифікат</v>
      </c>
    </row>
    <row r="1281" spans="1:6" x14ac:dyDescent="0.3">
      <c r="A1281" s="2">
        <v>1280</v>
      </c>
      <c r="B1281" s="1" t="s">
        <v>2702</v>
      </c>
      <c r="C1281" s="1" t="s">
        <v>2699</v>
      </c>
      <c r="D1281" s="1" t="s">
        <v>2700</v>
      </c>
      <c r="E1281" s="1" t="s">
        <v>2703</v>
      </c>
      <c r="F1281" s="1" t="str">
        <f>HYPERLINK("https://talan.bank.gov.ua/get-user-certificate/J5325LWSOvsHnwpwAVau","Завантажити сертифікат")</f>
        <v>Завантажити сертифікат</v>
      </c>
    </row>
    <row r="1282" spans="1:6" x14ac:dyDescent="0.3">
      <c r="A1282" s="2">
        <v>1281</v>
      </c>
      <c r="B1282" s="1" t="s">
        <v>2704</v>
      </c>
      <c r="C1282" s="1" t="s">
        <v>2699</v>
      </c>
      <c r="D1282" s="1" t="s">
        <v>2700</v>
      </c>
      <c r="E1282" s="1" t="s">
        <v>2705</v>
      </c>
      <c r="F1282" s="1" t="str">
        <f>HYPERLINK("https://talan.bank.gov.ua/get-user-certificate/J5325jOmIOZaEhxf77o-","Завантажити сертифікат")</f>
        <v>Завантажити сертифікат</v>
      </c>
    </row>
    <row r="1283" spans="1:6" x14ac:dyDescent="0.3">
      <c r="A1283" s="2">
        <v>1282</v>
      </c>
      <c r="B1283" s="1" t="s">
        <v>2706</v>
      </c>
      <c r="C1283" s="1" t="s">
        <v>2699</v>
      </c>
      <c r="D1283" s="1" t="s">
        <v>2700</v>
      </c>
      <c r="E1283" s="1" t="s">
        <v>2707</v>
      </c>
      <c r="F1283" s="1" t="str">
        <f>HYPERLINK("https://talan.bank.gov.ua/get-user-certificate/J5325B8o_TmwO813IeAC","Завантажити сертифікат")</f>
        <v>Завантажити сертифікат</v>
      </c>
    </row>
    <row r="1284" spans="1:6" x14ac:dyDescent="0.3">
      <c r="A1284" s="2">
        <v>1283</v>
      </c>
      <c r="B1284" s="1" t="s">
        <v>2708</v>
      </c>
      <c r="C1284" s="1" t="s">
        <v>2699</v>
      </c>
      <c r="D1284" s="1" t="s">
        <v>2700</v>
      </c>
      <c r="E1284" s="1" t="s">
        <v>2709</v>
      </c>
      <c r="F1284" s="1" t="str">
        <f>HYPERLINK("https://talan.bank.gov.ua/get-user-certificate/J5325ke36jxOtlHplcSE","Завантажити сертифікат")</f>
        <v>Завантажити сертифікат</v>
      </c>
    </row>
    <row r="1285" spans="1:6" x14ac:dyDescent="0.3">
      <c r="A1285" s="2">
        <v>1284</v>
      </c>
      <c r="B1285" s="1" t="s">
        <v>2710</v>
      </c>
      <c r="C1285" s="1" t="s">
        <v>2699</v>
      </c>
      <c r="D1285" s="1" t="s">
        <v>2700</v>
      </c>
      <c r="E1285" s="1" t="s">
        <v>2711</v>
      </c>
      <c r="F1285" s="1" t="str">
        <f>HYPERLINK("https://talan.bank.gov.ua/get-user-certificate/J5325i3Ffith-urc_xOp","Завантажити сертифікат")</f>
        <v>Завантажити сертифікат</v>
      </c>
    </row>
    <row r="1286" spans="1:6" x14ac:dyDescent="0.3">
      <c r="A1286" s="2">
        <v>1285</v>
      </c>
      <c r="B1286" s="1" t="s">
        <v>2712</v>
      </c>
      <c r="C1286" s="1" t="s">
        <v>2699</v>
      </c>
      <c r="D1286" s="1" t="s">
        <v>2700</v>
      </c>
      <c r="E1286" s="1" t="s">
        <v>2713</v>
      </c>
      <c r="F1286" s="1" t="str">
        <f>HYPERLINK("https://talan.bank.gov.ua/get-user-certificate/J5325Rp6xYj6CZRUHI_0","Завантажити сертифікат")</f>
        <v>Завантажити сертифікат</v>
      </c>
    </row>
    <row r="1287" spans="1:6" x14ac:dyDescent="0.3">
      <c r="A1287" s="2">
        <v>1286</v>
      </c>
      <c r="B1287" s="1" t="s">
        <v>2714</v>
      </c>
      <c r="C1287" s="1" t="s">
        <v>2699</v>
      </c>
      <c r="D1287" s="1" t="s">
        <v>2700</v>
      </c>
      <c r="E1287" s="1" t="s">
        <v>2715</v>
      </c>
      <c r="F1287" s="1" t="str">
        <f>HYPERLINK("https://talan.bank.gov.ua/get-user-certificate/J5325omw_uBubx43Kzcr","Завантажити сертифікат")</f>
        <v>Завантажити сертифікат</v>
      </c>
    </row>
    <row r="1288" spans="1:6" x14ac:dyDescent="0.3">
      <c r="A1288" s="2">
        <v>1287</v>
      </c>
      <c r="B1288" s="1" t="s">
        <v>2716</v>
      </c>
      <c r="C1288" s="1" t="s">
        <v>2699</v>
      </c>
      <c r="D1288" s="1" t="s">
        <v>2700</v>
      </c>
      <c r="E1288" s="1" t="s">
        <v>2717</v>
      </c>
      <c r="F1288" s="1" t="str">
        <f>HYPERLINK("https://talan.bank.gov.ua/get-user-certificate/J5325dfHp5v1kHqqv-Uz","Завантажити сертифікат")</f>
        <v>Завантажити сертифікат</v>
      </c>
    </row>
    <row r="1289" spans="1:6" x14ac:dyDescent="0.3">
      <c r="A1289" s="2">
        <v>1288</v>
      </c>
      <c r="B1289" s="1" t="s">
        <v>2718</v>
      </c>
      <c r="C1289" s="1" t="s">
        <v>2699</v>
      </c>
      <c r="D1289" s="1" t="s">
        <v>2700</v>
      </c>
      <c r="E1289" s="1" t="s">
        <v>2719</v>
      </c>
      <c r="F1289" s="1" t="str">
        <f>HYPERLINK("https://talan.bank.gov.ua/get-user-certificate/J5325_aX3uwWiKriXmac","Завантажити сертифікат")</f>
        <v>Завантажити сертифікат</v>
      </c>
    </row>
    <row r="1290" spans="1:6" x14ac:dyDescent="0.3">
      <c r="A1290" s="2">
        <v>1289</v>
      </c>
      <c r="B1290" s="1" t="s">
        <v>2720</v>
      </c>
      <c r="C1290" s="1" t="s">
        <v>2699</v>
      </c>
      <c r="D1290" s="1" t="s">
        <v>2700</v>
      </c>
      <c r="E1290" s="1" t="s">
        <v>2721</v>
      </c>
      <c r="F1290" s="1" t="str">
        <f>HYPERLINK("https://talan.bank.gov.ua/get-user-certificate/J5325dfmAdD0w5eo66SX","Завантажити сертифікат")</f>
        <v>Завантажити сертифікат</v>
      </c>
    </row>
    <row r="1291" spans="1:6" ht="28.8" x14ac:dyDescent="0.3">
      <c r="A1291" s="2">
        <v>1290</v>
      </c>
      <c r="B1291" s="1" t="s">
        <v>2722</v>
      </c>
      <c r="C1291" s="1" t="s">
        <v>2723</v>
      </c>
      <c r="D1291" s="1" t="s">
        <v>2724</v>
      </c>
      <c r="E1291" s="1" t="s">
        <v>2725</v>
      </c>
      <c r="F1291" s="1" t="str">
        <f>HYPERLINK("https://talan.bank.gov.ua/get-user-certificate/J5325dr_s0eqD0EvS4HN","Завантажити сертифікат")</f>
        <v>Завантажити сертифікат</v>
      </c>
    </row>
    <row r="1292" spans="1:6" ht="28.8" x14ac:dyDescent="0.3">
      <c r="A1292" s="2">
        <v>1291</v>
      </c>
      <c r="B1292" s="1" t="s">
        <v>2726</v>
      </c>
      <c r="C1292" s="1" t="s">
        <v>2723</v>
      </c>
      <c r="D1292" s="1" t="s">
        <v>2724</v>
      </c>
      <c r="E1292" s="1" t="s">
        <v>2727</v>
      </c>
      <c r="F1292" s="1" t="str">
        <f>HYPERLINK("https://talan.bank.gov.ua/get-user-certificate/J5325O8ub49SOxiaX5-C","Завантажити сертифікат")</f>
        <v>Завантажити сертифікат</v>
      </c>
    </row>
    <row r="1293" spans="1:6" ht="28.8" x14ac:dyDescent="0.3">
      <c r="A1293" s="2">
        <v>1292</v>
      </c>
      <c r="B1293" s="1" t="s">
        <v>2728</v>
      </c>
      <c r="C1293" s="1" t="s">
        <v>2723</v>
      </c>
      <c r="D1293" s="1" t="s">
        <v>2724</v>
      </c>
      <c r="E1293" s="1" t="s">
        <v>2729</v>
      </c>
      <c r="F1293" s="1" t="str">
        <f>HYPERLINK("https://talan.bank.gov.ua/get-user-certificate/J5325xEccu3hcO4IV9Fi","Завантажити сертифікат")</f>
        <v>Завантажити сертифікат</v>
      </c>
    </row>
    <row r="1294" spans="1:6" ht="28.8" x14ac:dyDescent="0.3">
      <c r="A1294" s="2">
        <v>1293</v>
      </c>
      <c r="B1294" s="1" t="s">
        <v>2730</v>
      </c>
      <c r="C1294" s="1" t="s">
        <v>2731</v>
      </c>
      <c r="D1294" s="1" t="s">
        <v>2732</v>
      </c>
      <c r="E1294" s="1" t="s">
        <v>2733</v>
      </c>
      <c r="F1294" s="1" t="str">
        <f>HYPERLINK("https://talan.bank.gov.ua/get-user-certificate/J5325XHCnDeWxujWTZNL","Завантажити сертифікат")</f>
        <v>Завантажити сертифікат</v>
      </c>
    </row>
    <row r="1295" spans="1:6" ht="28.8" x14ac:dyDescent="0.3">
      <c r="A1295" s="2">
        <v>1294</v>
      </c>
      <c r="B1295" s="1" t="s">
        <v>2734</v>
      </c>
      <c r="C1295" s="1" t="s">
        <v>2731</v>
      </c>
      <c r="D1295" s="1" t="s">
        <v>2732</v>
      </c>
      <c r="E1295" s="1" t="s">
        <v>2735</v>
      </c>
      <c r="F1295" s="1" t="str">
        <f>HYPERLINK("https://talan.bank.gov.ua/get-user-certificate/J5325NFbkJgP1bymxKNO","Завантажити сертифікат")</f>
        <v>Завантажити сертифікат</v>
      </c>
    </row>
    <row r="1296" spans="1:6" ht="28.8" x14ac:dyDescent="0.3">
      <c r="A1296" s="2">
        <v>1295</v>
      </c>
      <c r="B1296" s="1" t="s">
        <v>2736</v>
      </c>
      <c r="C1296" s="1" t="s">
        <v>2731</v>
      </c>
      <c r="D1296" s="1" t="s">
        <v>2732</v>
      </c>
      <c r="E1296" s="1" t="s">
        <v>2737</v>
      </c>
      <c r="F1296" s="1" t="str">
        <f>HYPERLINK("https://talan.bank.gov.ua/get-user-certificate/J5325L2Hc8-KX1zPdUs8","Завантажити сертифікат")</f>
        <v>Завантажити сертифікат</v>
      </c>
    </row>
    <row r="1297" spans="1:6" ht="28.8" x14ac:dyDescent="0.3">
      <c r="A1297" s="2">
        <v>1296</v>
      </c>
      <c r="B1297" s="1" t="s">
        <v>2738</v>
      </c>
      <c r="C1297" s="1" t="s">
        <v>2731</v>
      </c>
      <c r="D1297" s="1" t="s">
        <v>2732</v>
      </c>
      <c r="E1297" s="1" t="s">
        <v>2739</v>
      </c>
      <c r="F1297" s="1" t="str">
        <f>HYPERLINK("https://talan.bank.gov.ua/get-user-certificate/J5325TGppqfa2PfM97sD","Завантажити сертифікат")</f>
        <v>Завантажити сертифікат</v>
      </c>
    </row>
    <row r="1298" spans="1:6" ht="28.8" x14ac:dyDescent="0.3">
      <c r="A1298" s="2">
        <v>1297</v>
      </c>
      <c r="B1298" s="1" t="s">
        <v>2740</v>
      </c>
      <c r="C1298" s="1" t="s">
        <v>2731</v>
      </c>
      <c r="D1298" s="1" t="s">
        <v>2732</v>
      </c>
      <c r="E1298" s="1" t="s">
        <v>2741</v>
      </c>
      <c r="F1298" s="1" t="str">
        <f>HYPERLINK("https://talan.bank.gov.ua/get-user-certificate/J5325JGardEA_-kABZ3F","Завантажити сертифікат")</f>
        <v>Завантажити сертифікат</v>
      </c>
    </row>
    <row r="1299" spans="1:6" ht="28.8" x14ac:dyDescent="0.3">
      <c r="A1299" s="2">
        <v>1298</v>
      </c>
      <c r="B1299" s="1" t="s">
        <v>2742</v>
      </c>
      <c r="C1299" s="1" t="s">
        <v>2731</v>
      </c>
      <c r="D1299" s="1" t="s">
        <v>2732</v>
      </c>
      <c r="E1299" s="1" t="s">
        <v>2743</v>
      </c>
      <c r="F1299" s="1" t="str">
        <f>HYPERLINK("https://talan.bank.gov.ua/get-user-certificate/J5325BgvOFmNdr8BVGSz","Завантажити сертифікат")</f>
        <v>Завантажити сертифікат</v>
      </c>
    </row>
    <row r="1300" spans="1:6" ht="28.8" x14ac:dyDescent="0.3">
      <c r="A1300" s="2">
        <v>1299</v>
      </c>
      <c r="B1300" s="1" t="s">
        <v>2744</v>
      </c>
      <c r="C1300" s="1" t="s">
        <v>2731</v>
      </c>
      <c r="D1300" s="1" t="s">
        <v>2732</v>
      </c>
      <c r="E1300" s="1" t="s">
        <v>2745</v>
      </c>
      <c r="F1300" s="1" t="str">
        <f>HYPERLINK("https://talan.bank.gov.ua/get-user-certificate/J53252bN9-AgiDA6I8wN","Завантажити сертифікат")</f>
        <v>Завантажити сертифікат</v>
      </c>
    </row>
    <row r="1301" spans="1:6" ht="28.8" x14ac:dyDescent="0.3">
      <c r="A1301" s="2">
        <v>1300</v>
      </c>
      <c r="B1301" s="1" t="s">
        <v>2746</v>
      </c>
      <c r="C1301" s="1" t="s">
        <v>2731</v>
      </c>
      <c r="D1301" s="1" t="s">
        <v>2732</v>
      </c>
      <c r="E1301" s="1" t="s">
        <v>2747</v>
      </c>
      <c r="F1301" s="1" t="str">
        <f>HYPERLINK("https://talan.bank.gov.ua/get-user-certificate/J5325wOFeRxqs0Zbpywv","Завантажити сертифікат")</f>
        <v>Завантажити сертифікат</v>
      </c>
    </row>
    <row r="1302" spans="1:6" ht="28.8" x14ac:dyDescent="0.3">
      <c r="A1302" s="2">
        <v>1301</v>
      </c>
      <c r="B1302" s="1" t="s">
        <v>2748</v>
      </c>
      <c r="C1302" s="1" t="s">
        <v>2731</v>
      </c>
      <c r="D1302" s="1" t="s">
        <v>2732</v>
      </c>
      <c r="E1302" s="1" t="s">
        <v>2749</v>
      </c>
      <c r="F1302" s="1" t="str">
        <f>HYPERLINK("https://talan.bank.gov.ua/get-user-certificate/J5325t1wctyZuYnQuVpV","Завантажити сертифікат")</f>
        <v>Завантажити сертифікат</v>
      </c>
    </row>
    <row r="1303" spans="1:6" ht="28.8" x14ac:dyDescent="0.3">
      <c r="A1303" s="2">
        <v>1302</v>
      </c>
      <c r="B1303" s="1" t="s">
        <v>2750</v>
      </c>
      <c r="C1303" s="1" t="s">
        <v>2731</v>
      </c>
      <c r="D1303" s="1" t="s">
        <v>2732</v>
      </c>
      <c r="E1303" s="1" t="s">
        <v>2751</v>
      </c>
      <c r="F1303" s="1" t="str">
        <f>HYPERLINK("https://talan.bank.gov.ua/get-user-certificate/J5325LbBiOhchY8xqVXT","Завантажити сертифікат")</f>
        <v>Завантажити сертифікат</v>
      </c>
    </row>
    <row r="1304" spans="1:6" ht="28.8" x14ac:dyDescent="0.3">
      <c r="A1304" s="2">
        <v>1303</v>
      </c>
      <c r="B1304" s="1" t="s">
        <v>2752</v>
      </c>
      <c r="C1304" s="1" t="s">
        <v>2731</v>
      </c>
      <c r="D1304" s="1" t="s">
        <v>2732</v>
      </c>
      <c r="E1304" s="1" t="s">
        <v>2753</v>
      </c>
      <c r="F1304" s="1" t="str">
        <f>HYPERLINK("https://talan.bank.gov.ua/get-user-certificate/J5325RsSH4UcMgmATACo","Завантажити сертифікат")</f>
        <v>Завантажити сертифікат</v>
      </c>
    </row>
    <row r="1305" spans="1:6" ht="28.8" x14ac:dyDescent="0.3">
      <c r="A1305" s="2">
        <v>1304</v>
      </c>
      <c r="B1305" s="1" t="s">
        <v>2754</v>
      </c>
      <c r="C1305" s="1" t="s">
        <v>2731</v>
      </c>
      <c r="D1305" s="1" t="s">
        <v>2732</v>
      </c>
      <c r="E1305" s="1" t="s">
        <v>2755</v>
      </c>
      <c r="F1305" s="1" t="str">
        <f>HYPERLINK("https://talan.bank.gov.ua/get-user-certificate/J5325RasRZHR9j_l8m_p","Завантажити сертифікат")</f>
        <v>Завантажити сертифікат</v>
      </c>
    </row>
    <row r="1306" spans="1:6" ht="28.8" x14ac:dyDescent="0.3">
      <c r="A1306" s="2">
        <v>1305</v>
      </c>
      <c r="B1306" s="1" t="s">
        <v>2756</v>
      </c>
      <c r="C1306" s="1" t="s">
        <v>2731</v>
      </c>
      <c r="D1306" s="1" t="s">
        <v>2732</v>
      </c>
      <c r="E1306" s="1" t="s">
        <v>2757</v>
      </c>
      <c r="F1306" s="1" t="str">
        <f>HYPERLINK("https://talan.bank.gov.ua/get-user-certificate/J53256VHjVpHQl3oVYHr","Завантажити сертифікат")</f>
        <v>Завантажити сертифікат</v>
      </c>
    </row>
    <row r="1307" spans="1:6" ht="28.8" x14ac:dyDescent="0.3">
      <c r="A1307" s="2">
        <v>1306</v>
      </c>
      <c r="B1307" s="1" t="s">
        <v>2758</v>
      </c>
      <c r="C1307" s="1" t="s">
        <v>2731</v>
      </c>
      <c r="D1307" s="1" t="s">
        <v>2732</v>
      </c>
      <c r="E1307" s="1" t="s">
        <v>2759</v>
      </c>
      <c r="F1307" s="1" t="str">
        <f>HYPERLINK("https://talan.bank.gov.ua/get-user-certificate/J5325tBZWUUvKX4_Toit","Завантажити сертифікат")</f>
        <v>Завантажити сертифікат</v>
      </c>
    </row>
    <row r="1308" spans="1:6" ht="28.8" x14ac:dyDescent="0.3">
      <c r="A1308" s="2">
        <v>1307</v>
      </c>
      <c r="B1308" s="1" t="s">
        <v>2760</v>
      </c>
      <c r="C1308" s="1" t="s">
        <v>2731</v>
      </c>
      <c r="D1308" s="1" t="s">
        <v>2732</v>
      </c>
      <c r="E1308" s="1" t="s">
        <v>2761</v>
      </c>
      <c r="F1308" s="1" t="str">
        <f>HYPERLINK("https://talan.bank.gov.ua/get-user-certificate/J5325d3TyXdXEZEI797o","Завантажити сертифікат")</f>
        <v>Завантажити сертифікат</v>
      </c>
    </row>
    <row r="1309" spans="1:6" ht="28.8" x14ac:dyDescent="0.3">
      <c r="A1309" s="2">
        <v>1308</v>
      </c>
      <c r="B1309" s="1" t="s">
        <v>2762</v>
      </c>
      <c r="C1309" s="1" t="s">
        <v>2731</v>
      </c>
      <c r="D1309" s="1" t="s">
        <v>2732</v>
      </c>
      <c r="E1309" s="1" t="s">
        <v>2763</v>
      </c>
      <c r="F1309" s="1" t="str">
        <f>HYPERLINK("https://talan.bank.gov.ua/get-user-certificate/J5325sqxZMrYIIHAvMA7","Завантажити сертифікат")</f>
        <v>Завантажити сертифікат</v>
      </c>
    </row>
    <row r="1310" spans="1:6" ht="28.8" x14ac:dyDescent="0.3">
      <c r="A1310" s="2">
        <v>1309</v>
      </c>
      <c r="B1310" s="1" t="s">
        <v>2764</v>
      </c>
      <c r="C1310" s="1" t="s">
        <v>2731</v>
      </c>
      <c r="D1310" s="1" t="s">
        <v>2732</v>
      </c>
      <c r="E1310" s="1" t="s">
        <v>2765</v>
      </c>
      <c r="F1310" s="1" t="str">
        <f>HYPERLINK("https://talan.bank.gov.ua/get-user-certificate/J5325xRyJUPI-PPV1pmb","Завантажити сертифікат")</f>
        <v>Завантажити сертифікат</v>
      </c>
    </row>
    <row r="1311" spans="1:6" ht="28.8" x14ac:dyDescent="0.3">
      <c r="A1311" s="2">
        <v>1310</v>
      </c>
      <c r="B1311" s="1" t="s">
        <v>2766</v>
      </c>
      <c r="C1311" s="1" t="s">
        <v>2731</v>
      </c>
      <c r="D1311" s="1" t="s">
        <v>2732</v>
      </c>
      <c r="E1311" s="1" t="s">
        <v>2767</v>
      </c>
      <c r="F1311" s="1" t="str">
        <f>HYPERLINK("https://talan.bank.gov.ua/get-user-certificate/J5325W1e8zOqvpcyIMrt","Завантажити сертифікат")</f>
        <v>Завантажити сертифікат</v>
      </c>
    </row>
    <row r="1312" spans="1:6" ht="28.8" x14ac:dyDescent="0.3">
      <c r="A1312" s="2">
        <v>1311</v>
      </c>
      <c r="B1312" s="1" t="s">
        <v>2768</v>
      </c>
      <c r="C1312" s="1" t="s">
        <v>2731</v>
      </c>
      <c r="D1312" s="1" t="s">
        <v>2732</v>
      </c>
      <c r="E1312" s="1" t="s">
        <v>2769</v>
      </c>
      <c r="F1312" s="1" t="str">
        <f>HYPERLINK("https://talan.bank.gov.ua/get-user-certificate/J5325aZe0w4k_YejVFJA","Завантажити сертифікат")</f>
        <v>Завантажити сертифікат</v>
      </c>
    </row>
    <row r="1313" spans="1:6" ht="28.8" x14ac:dyDescent="0.3">
      <c r="A1313" s="2">
        <v>1312</v>
      </c>
      <c r="B1313" s="1" t="s">
        <v>2770</v>
      </c>
      <c r="C1313" s="1" t="s">
        <v>2731</v>
      </c>
      <c r="D1313" s="1" t="s">
        <v>2732</v>
      </c>
      <c r="E1313" s="1" t="s">
        <v>2771</v>
      </c>
      <c r="F1313" s="1" t="str">
        <f>HYPERLINK("https://talan.bank.gov.ua/get-user-certificate/J5325uVHcsR0lcQyRtQQ","Завантажити сертифікат")</f>
        <v>Завантажити сертифікат</v>
      </c>
    </row>
    <row r="1314" spans="1:6" ht="28.8" x14ac:dyDescent="0.3">
      <c r="A1314" s="2">
        <v>1313</v>
      </c>
      <c r="B1314" s="1" t="s">
        <v>2772</v>
      </c>
      <c r="C1314" s="1" t="s">
        <v>2731</v>
      </c>
      <c r="D1314" s="1" t="s">
        <v>2732</v>
      </c>
      <c r="E1314" s="1" t="s">
        <v>2773</v>
      </c>
      <c r="F1314" s="1" t="str">
        <f>HYPERLINK("https://talan.bank.gov.ua/get-user-certificate/J5325dvWhmgLyn9mu457","Завантажити сертифікат")</f>
        <v>Завантажити сертифікат</v>
      </c>
    </row>
    <row r="1315" spans="1:6" ht="28.8" x14ac:dyDescent="0.3">
      <c r="A1315" s="2">
        <v>1314</v>
      </c>
      <c r="B1315" s="1" t="s">
        <v>2774</v>
      </c>
      <c r="C1315" s="1" t="s">
        <v>2731</v>
      </c>
      <c r="D1315" s="1" t="s">
        <v>2732</v>
      </c>
      <c r="E1315" s="1" t="s">
        <v>2775</v>
      </c>
      <c r="F1315" s="1" t="str">
        <f>HYPERLINK("https://talan.bank.gov.ua/get-user-certificate/J53256h1uOhLHIcrwPgo","Завантажити сертифікат")</f>
        <v>Завантажити сертифікат</v>
      </c>
    </row>
    <row r="1316" spans="1:6" ht="28.8" x14ac:dyDescent="0.3">
      <c r="A1316" s="2">
        <v>1315</v>
      </c>
      <c r="B1316" s="1" t="s">
        <v>2776</v>
      </c>
      <c r="C1316" s="1" t="s">
        <v>2731</v>
      </c>
      <c r="D1316" s="1" t="s">
        <v>2732</v>
      </c>
      <c r="E1316" s="1" t="s">
        <v>2777</v>
      </c>
      <c r="F1316" s="1" t="str">
        <f>HYPERLINK("https://talan.bank.gov.ua/get-user-certificate/J5325vQCh86c9ADUQQ7d","Завантажити сертифікат")</f>
        <v>Завантажити сертифікат</v>
      </c>
    </row>
    <row r="1317" spans="1:6" ht="28.8" x14ac:dyDescent="0.3">
      <c r="A1317" s="2">
        <v>1316</v>
      </c>
      <c r="B1317" s="1" t="s">
        <v>2778</v>
      </c>
      <c r="C1317" s="1" t="s">
        <v>2731</v>
      </c>
      <c r="D1317" s="1" t="s">
        <v>2732</v>
      </c>
      <c r="E1317" s="1" t="s">
        <v>2779</v>
      </c>
      <c r="F1317" s="1" t="str">
        <f>HYPERLINK("https://talan.bank.gov.ua/get-user-certificate/J5325U4jRP-_BawGRcr4","Завантажити сертифікат")</f>
        <v>Завантажити сертифікат</v>
      </c>
    </row>
    <row r="1318" spans="1:6" ht="28.8" x14ac:dyDescent="0.3">
      <c r="A1318" s="2">
        <v>1317</v>
      </c>
      <c r="B1318" s="1" t="s">
        <v>2780</v>
      </c>
      <c r="C1318" s="1" t="s">
        <v>2731</v>
      </c>
      <c r="D1318" s="1" t="s">
        <v>2732</v>
      </c>
      <c r="E1318" s="1" t="s">
        <v>2781</v>
      </c>
      <c r="F1318" s="1" t="str">
        <f>HYPERLINK("https://talan.bank.gov.ua/get-user-certificate/J5325z_egVE6pjjPhluu","Завантажити сертифікат")</f>
        <v>Завантажити сертифікат</v>
      </c>
    </row>
    <row r="1319" spans="1:6" ht="28.8" x14ac:dyDescent="0.3">
      <c r="A1319" s="2">
        <v>1318</v>
      </c>
      <c r="B1319" s="1" t="s">
        <v>2782</v>
      </c>
      <c r="C1319" s="1" t="s">
        <v>2731</v>
      </c>
      <c r="D1319" s="1" t="s">
        <v>2732</v>
      </c>
      <c r="E1319" s="1" t="s">
        <v>2783</v>
      </c>
      <c r="F1319" s="1" t="str">
        <f>HYPERLINK("https://talan.bank.gov.ua/get-user-certificate/J5325lspEB-XTq8zoC7l","Завантажити сертифікат")</f>
        <v>Завантажити сертифікат</v>
      </c>
    </row>
    <row r="1320" spans="1:6" ht="28.8" x14ac:dyDescent="0.3">
      <c r="A1320" s="2">
        <v>1319</v>
      </c>
      <c r="B1320" s="1" t="s">
        <v>2784</v>
      </c>
      <c r="C1320" s="1" t="s">
        <v>2731</v>
      </c>
      <c r="D1320" s="1" t="s">
        <v>2732</v>
      </c>
      <c r="E1320" s="1" t="s">
        <v>2785</v>
      </c>
      <c r="F1320" s="1" t="str">
        <f>HYPERLINK("https://talan.bank.gov.ua/get-user-certificate/J5325O8fZX3TpRgxoVDm","Завантажити сертифікат")</f>
        <v>Завантажити сертифікат</v>
      </c>
    </row>
    <row r="1321" spans="1:6" ht="28.8" x14ac:dyDescent="0.3">
      <c r="A1321" s="2">
        <v>1320</v>
      </c>
      <c r="B1321" s="1" t="s">
        <v>2786</v>
      </c>
      <c r="C1321" s="1" t="s">
        <v>2731</v>
      </c>
      <c r="D1321" s="1" t="s">
        <v>2732</v>
      </c>
      <c r="E1321" s="1" t="s">
        <v>2787</v>
      </c>
      <c r="F1321" s="1" t="str">
        <f>HYPERLINK("https://talan.bank.gov.ua/get-user-certificate/J5325JyrZ133MN38NleS","Завантажити сертифікат")</f>
        <v>Завантажити сертифікат</v>
      </c>
    </row>
    <row r="1322" spans="1:6" ht="28.8" x14ac:dyDescent="0.3">
      <c r="A1322" s="2">
        <v>1321</v>
      </c>
      <c r="B1322" s="1" t="s">
        <v>2788</v>
      </c>
      <c r="C1322" s="1" t="s">
        <v>2789</v>
      </c>
      <c r="D1322" s="1" t="s">
        <v>2790</v>
      </c>
      <c r="E1322" s="1" t="s">
        <v>2791</v>
      </c>
      <c r="F1322" s="1" t="str">
        <f>HYPERLINK("https://talan.bank.gov.ua/get-user-certificate/J5325gtS8iFMrfeYbYVM","Завантажити сертифікат")</f>
        <v>Завантажити сертифікат</v>
      </c>
    </row>
    <row r="1323" spans="1:6" ht="28.8" x14ac:dyDescent="0.3">
      <c r="A1323" s="2">
        <v>1322</v>
      </c>
      <c r="B1323" s="1" t="s">
        <v>2792</v>
      </c>
      <c r="C1323" s="1" t="s">
        <v>2789</v>
      </c>
      <c r="D1323" s="1" t="s">
        <v>2790</v>
      </c>
      <c r="E1323" s="1" t="s">
        <v>2793</v>
      </c>
      <c r="F1323" s="1" t="str">
        <f>HYPERLINK("https://talan.bank.gov.ua/get-user-certificate/J5325S54-rV8epONIdLL","Завантажити сертифікат")</f>
        <v>Завантажити сертифікат</v>
      </c>
    </row>
    <row r="1324" spans="1:6" ht="28.8" x14ac:dyDescent="0.3">
      <c r="A1324" s="2">
        <v>1323</v>
      </c>
      <c r="B1324" s="1" t="s">
        <v>2794</v>
      </c>
      <c r="C1324" s="1" t="s">
        <v>2789</v>
      </c>
      <c r="D1324" s="1" t="s">
        <v>2790</v>
      </c>
      <c r="E1324" s="1" t="s">
        <v>2795</v>
      </c>
      <c r="F1324" s="1" t="str">
        <f>HYPERLINK("https://talan.bank.gov.ua/get-user-certificate/J532538TKrPovz4GcIi0","Завантажити сертифікат")</f>
        <v>Завантажити сертифікат</v>
      </c>
    </row>
    <row r="1325" spans="1:6" ht="28.8" x14ac:dyDescent="0.3">
      <c r="A1325" s="2">
        <v>1324</v>
      </c>
      <c r="B1325" s="1" t="s">
        <v>2796</v>
      </c>
      <c r="C1325" s="1" t="s">
        <v>2789</v>
      </c>
      <c r="D1325" s="1" t="s">
        <v>2790</v>
      </c>
      <c r="E1325" s="1" t="s">
        <v>2797</v>
      </c>
      <c r="F1325" s="1" t="str">
        <f>HYPERLINK("https://talan.bank.gov.ua/get-user-certificate/J5325ixMUNEXtT3XNn_G","Завантажити сертифікат")</f>
        <v>Завантажити сертифікат</v>
      </c>
    </row>
    <row r="1326" spans="1:6" ht="28.8" x14ac:dyDescent="0.3">
      <c r="A1326" s="2">
        <v>1325</v>
      </c>
      <c r="B1326" s="1" t="s">
        <v>2798</v>
      </c>
      <c r="C1326" s="1" t="s">
        <v>2789</v>
      </c>
      <c r="D1326" s="1" t="s">
        <v>2790</v>
      </c>
      <c r="E1326" s="1" t="s">
        <v>2799</v>
      </c>
      <c r="F1326" s="1" t="str">
        <f>HYPERLINK("https://talan.bank.gov.ua/get-user-certificate/J5325Ff2H4q6J_d5ZUDs","Завантажити сертифікат")</f>
        <v>Завантажити сертифікат</v>
      </c>
    </row>
    <row r="1327" spans="1:6" ht="28.8" x14ac:dyDescent="0.3">
      <c r="A1327" s="2">
        <v>1326</v>
      </c>
      <c r="B1327" s="1" t="s">
        <v>2800</v>
      </c>
      <c r="C1327" s="1" t="s">
        <v>2789</v>
      </c>
      <c r="D1327" s="1" t="s">
        <v>2790</v>
      </c>
      <c r="E1327" s="1" t="s">
        <v>2801</v>
      </c>
      <c r="F1327" s="1" t="str">
        <f>HYPERLINK("https://talan.bank.gov.ua/get-user-certificate/J5325gceCmGgJ8Dbjz1p","Завантажити сертифікат")</f>
        <v>Завантажити сертифікат</v>
      </c>
    </row>
    <row r="1328" spans="1:6" ht="28.8" x14ac:dyDescent="0.3">
      <c r="A1328" s="2">
        <v>1327</v>
      </c>
      <c r="B1328" s="1" t="s">
        <v>2802</v>
      </c>
      <c r="C1328" s="1" t="s">
        <v>2789</v>
      </c>
      <c r="D1328" s="1" t="s">
        <v>2790</v>
      </c>
      <c r="E1328" s="1" t="s">
        <v>2803</v>
      </c>
      <c r="F1328" s="1" t="str">
        <f>HYPERLINK("https://talan.bank.gov.ua/get-user-certificate/J5325WG-9QfspOZxiWe1","Завантажити сертифікат")</f>
        <v>Завантажити сертифікат</v>
      </c>
    </row>
    <row r="1329" spans="1:6" ht="28.8" x14ac:dyDescent="0.3">
      <c r="A1329" s="2">
        <v>1328</v>
      </c>
      <c r="B1329" s="1" t="s">
        <v>2804</v>
      </c>
      <c r="C1329" s="1" t="s">
        <v>2789</v>
      </c>
      <c r="D1329" s="1" t="s">
        <v>2790</v>
      </c>
      <c r="E1329" s="1" t="s">
        <v>2805</v>
      </c>
      <c r="F1329" s="1" t="str">
        <f>HYPERLINK("https://talan.bank.gov.ua/get-user-certificate/J5325-XbsD5dG0ExLM8M","Завантажити сертифікат")</f>
        <v>Завантажити сертифікат</v>
      </c>
    </row>
    <row r="1330" spans="1:6" ht="28.8" x14ac:dyDescent="0.3">
      <c r="A1330" s="2">
        <v>1329</v>
      </c>
      <c r="B1330" s="1" t="s">
        <v>2806</v>
      </c>
      <c r="C1330" s="1" t="s">
        <v>2789</v>
      </c>
      <c r="D1330" s="1" t="s">
        <v>2790</v>
      </c>
      <c r="E1330" s="1" t="s">
        <v>2807</v>
      </c>
      <c r="F1330" s="1" t="str">
        <f>HYPERLINK("https://talan.bank.gov.ua/get-user-certificate/J5325bZK1HLhGDXgQjoP","Завантажити сертифікат")</f>
        <v>Завантажити сертифікат</v>
      </c>
    </row>
    <row r="1331" spans="1:6" ht="28.8" x14ac:dyDescent="0.3">
      <c r="A1331" s="2">
        <v>1330</v>
      </c>
      <c r="B1331" s="1" t="s">
        <v>2808</v>
      </c>
      <c r="C1331" s="1" t="s">
        <v>2789</v>
      </c>
      <c r="D1331" s="1" t="s">
        <v>2790</v>
      </c>
      <c r="E1331" s="1" t="s">
        <v>2809</v>
      </c>
      <c r="F1331" s="1" t="str">
        <f>HYPERLINK("https://talan.bank.gov.ua/get-user-certificate/J53252GBiomm0rHqEP0z","Завантажити сертифікат")</f>
        <v>Завантажити сертифікат</v>
      </c>
    </row>
    <row r="1332" spans="1:6" ht="57.6" x14ac:dyDescent="0.3">
      <c r="A1332" s="2">
        <v>1331</v>
      </c>
      <c r="B1332" s="1" t="s">
        <v>2810</v>
      </c>
      <c r="C1332" s="1" t="s">
        <v>2811</v>
      </c>
      <c r="D1332" s="1" t="s">
        <v>2812</v>
      </c>
      <c r="E1332" s="1" t="s">
        <v>2813</v>
      </c>
      <c r="F1332" s="1" t="str">
        <f>HYPERLINK("https://talan.bank.gov.ua/get-user-certificate/J53250PzHMuboHKFbE1h","Завантажити сертифікат")</f>
        <v>Завантажити сертифікат</v>
      </c>
    </row>
    <row r="1333" spans="1:6" ht="57.6" x14ac:dyDescent="0.3">
      <c r="A1333" s="2">
        <v>1332</v>
      </c>
      <c r="B1333" s="1" t="s">
        <v>2814</v>
      </c>
      <c r="C1333" s="1" t="s">
        <v>2811</v>
      </c>
      <c r="D1333" s="1" t="s">
        <v>2812</v>
      </c>
      <c r="E1333" s="1" t="s">
        <v>2815</v>
      </c>
      <c r="F1333" s="1" t="str">
        <f>HYPERLINK("https://talan.bank.gov.ua/get-user-certificate/J5325zvpRzaJ8VrGE9gf","Завантажити сертифікат")</f>
        <v>Завантажити сертифікат</v>
      </c>
    </row>
    <row r="1334" spans="1:6" ht="57.6" x14ac:dyDescent="0.3">
      <c r="A1334" s="2">
        <v>1333</v>
      </c>
      <c r="B1334" s="1" t="s">
        <v>2816</v>
      </c>
      <c r="C1334" s="1" t="s">
        <v>2811</v>
      </c>
      <c r="D1334" s="1" t="s">
        <v>2812</v>
      </c>
      <c r="E1334" s="1" t="s">
        <v>2817</v>
      </c>
      <c r="F1334" s="1" t="str">
        <f>HYPERLINK("https://talan.bank.gov.ua/get-user-certificate/J5325whTvXDYjmQ3uQIl","Завантажити сертифікат")</f>
        <v>Завантажити сертифікат</v>
      </c>
    </row>
    <row r="1335" spans="1:6" ht="57.6" x14ac:dyDescent="0.3">
      <c r="A1335" s="2">
        <v>1334</v>
      </c>
      <c r="B1335" s="1" t="s">
        <v>2818</v>
      </c>
      <c r="C1335" s="1" t="s">
        <v>2811</v>
      </c>
      <c r="D1335" s="1" t="s">
        <v>2812</v>
      </c>
      <c r="E1335" s="1" t="s">
        <v>2819</v>
      </c>
      <c r="F1335" s="1" t="str">
        <f>HYPERLINK("https://talan.bank.gov.ua/get-user-certificate/J53253pFg23m_cBPdO1Z","Завантажити сертифікат")</f>
        <v>Завантажити сертифікат</v>
      </c>
    </row>
    <row r="1336" spans="1:6" ht="57.6" x14ac:dyDescent="0.3">
      <c r="A1336" s="2">
        <v>1335</v>
      </c>
      <c r="B1336" s="1" t="s">
        <v>2820</v>
      </c>
      <c r="C1336" s="1" t="s">
        <v>2811</v>
      </c>
      <c r="D1336" s="1" t="s">
        <v>2812</v>
      </c>
      <c r="E1336" s="1" t="s">
        <v>2821</v>
      </c>
      <c r="F1336" s="1" t="str">
        <f>HYPERLINK("https://talan.bank.gov.ua/get-user-certificate/J5325Q6SeU71hMoEudCh","Завантажити сертифікат")</f>
        <v>Завантажити сертифікат</v>
      </c>
    </row>
    <row r="1337" spans="1:6" ht="57.6" x14ac:dyDescent="0.3">
      <c r="A1337" s="2">
        <v>1336</v>
      </c>
      <c r="B1337" s="1" t="s">
        <v>2822</v>
      </c>
      <c r="C1337" s="1" t="s">
        <v>2811</v>
      </c>
      <c r="D1337" s="1" t="s">
        <v>2812</v>
      </c>
      <c r="E1337" s="1" t="s">
        <v>2823</v>
      </c>
      <c r="F1337" s="1" t="str">
        <f>HYPERLINK("https://talan.bank.gov.ua/get-user-certificate/J5325F8XMUZXrakK7R3w","Завантажити сертифікат")</f>
        <v>Завантажити сертифікат</v>
      </c>
    </row>
    <row r="1338" spans="1:6" ht="57.6" x14ac:dyDescent="0.3">
      <c r="A1338" s="2">
        <v>1337</v>
      </c>
      <c r="B1338" s="1" t="s">
        <v>2824</v>
      </c>
      <c r="C1338" s="1" t="s">
        <v>2811</v>
      </c>
      <c r="D1338" s="1" t="s">
        <v>2812</v>
      </c>
      <c r="E1338" s="1" t="s">
        <v>2825</v>
      </c>
      <c r="F1338" s="1" t="str">
        <f>HYPERLINK("https://talan.bank.gov.ua/get-user-certificate/J5325vDv-MH3G7SrFf-V","Завантажити сертифікат")</f>
        <v>Завантажити сертифікат</v>
      </c>
    </row>
    <row r="1339" spans="1:6" ht="57.6" x14ac:dyDescent="0.3">
      <c r="A1339" s="2">
        <v>1338</v>
      </c>
      <c r="B1339" s="1" t="s">
        <v>2826</v>
      </c>
      <c r="C1339" s="1" t="s">
        <v>2811</v>
      </c>
      <c r="D1339" s="1" t="s">
        <v>2812</v>
      </c>
      <c r="E1339" s="1" t="s">
        <v>2827</v>
      </c>
      <c r="F1339" s="1" t="str">
        <f>HYPERLINK("https://talan.bank.gov.ua/get-user-certificate/J5325tnxvr3EsWymZey-","Завантажити сертифікат")</f>
        <v>Завантажити сертифікат</v>
      </c>
    </row>
    <row r="1340" spans="1:6" ht="57.6" x14ac:dyDescent="0.3">
      <c r="A1340" s="2">
        <v>1339</v>
      </c>
      <c r="B1340" s="1" t="s">
        <v>2828</v>
      </c>
      <c r="C1340" s="1" t="s">
        <v>2811</v>
      </c>
      <c r="D1340" s="1" t="s">
        <v>2812</v>
      </c>
      <c r="E1340" s="1" t="s">
        <v>2829</v>
      </c>
      <c r="F1340" s="1" t="str">
        <f>HYPERLINK("https://talan.bank.gov.ua/get-user-certificate/J5325I-y4fqvIDj7SXsz","Завантажити сертифікат")</f>
        <v>Завантажити сертифікат</v>
      </c>
    </row>
    <row r="1341" spans="1:6" ht="57.6" x14ac:dyDescent="0.3">
      <c r="A1341" s="2">
        <v>1340</v>
      </c>
      <c r="B1341" s="1" t="s">
        <v>2830</v>
      </c>
      <c r="C1341" s="1" t="s">
        <v>2811</v>
      </c>
      <c r="D1341" s="1" t="s">
        <v>2812</v>
      </c>
      <c r="E1341" s="1" t="s">
        <v>2831</v>
      </c>
      <c r="F1341" s="1" t="str">
        <f>HYPERLINK("https://talan.bank.gov.ua/get-user-certificate/J5325tfJxefxZ2qfE2fi","Завантажити сертифікат")</f>
        <v>Завантажити сертифікат</v>
      </c>
    </row>
    <row r="1342" spans="1:6" ht="57.6" x14ac:dyDescent="0.3">
      <c r="A1342" s="2">
        <v>1341</v>
      </c>
      <c r="B1342" s="1" t="s">
        <v>2832</v>
      </c>
      <c r="C1342" s="1" t="s">
        <v>2811</v>
      </c>
      <c r="D1342" s="1" t="s">
        <v>2812</v>
      </c>
      <c r="E1342" s="1" t="s">
        <v>2833</v>
      </c>
      <c r="F1342" s="1" t="str">
        <f>HYPERLINK("https://talan.bank.gov.ua/get-user-certificate/J53258lDOAf2RrI0dZry","Завантажити сертифікат")</f>
        <v>Завантажити сертифікат</v>
      </c>
    </row>
    <row r="1343" spans="1:6" ht="57.6" x14ac:dyDescent="0.3">
      <c r="A1343" s="2">
        <v>1342</v>
      </c>
      <c r="B1343" s="1" t="s">
        <v>2834</v>
      </c>
      <c r="C1343" s="1" t="s">
        <v>2811</v>
      </c>
      <c r="D1343" s="1" t="s">
        <v>2812</v>
      </c>
      <c r="E1343" s="1" t="s">
        <v>2835</v>
      </c>
      <c r="F1343" s="1" t="str">
        <f>HYPERLINK("https://talan.bank.gov.ua/get-user-certificate/J5325XiAr13q2ue34xHK","Завантажити сертифікат")</f>
        <v>Завантажити сертифікат</v>
      </c>
    </row>
    <row r="1344" spans="1:6" ht="57.6" x14ac:dyDescent="0.3">
      <c r="A1344" s="2">
        <v>1343</v>
      </c>
      <c r="B1344" s="1" t="s">
        <v>2836</v>
      </c>
      <c r="C1344" s="1" t="s">
        <v>2811</v>
      </c>
      <c r="D1344" s="1" t="s">
        <v>2812</v>
      </c>
      <c r="E1344" s="1" t="s">
        <v>2837</v>
      </c>
      <c r="F1344" s="1" t="str">
        <f>HYPERLINK("https://talan.bank.gov.ua/get-user-certificate/J5325Ydu2ahVvF8gHUTj","Завантажити сертифікат")</f>
        <v>Завантажити сертифікат</v>
      </c>
    </row>
    <row r="1345" spans="1:6" ht="43.2" x14ac:dyDescent="0.3">
      <c r="A1345" s="2">
        <v>1344</v>
      </c>
      <c r="B1345" s="1" t="s">
        <v>2838</v>
      </c>
      <c r="C1345" s="1" t="s">
        <v>2839</v>
      </c>
      <c r="D1345" s="1" t="s">
        <v>2840</v>
      </c>
      <c r="E1345" s="1" t="s">
        <v>2841</v>
      </c>
      <c r="F1345" s="1" t="str">
        <f>HYPERLINK("https://talan.bank.gov.ua/get-user-certificate/J5325WizRgMbBbN16iRn","Завантажити сертифікат")</f>
        <v>Завантажити сертифікат</v>
      </c>
    </row>
    <row r="1346" spans="1:6" ht="43.2" x14ac:dyDescent="0.3">
      <c r="A1346" s="2">
        <v>1345</v>
      </c>
      <c r="B1346" s="1" t="s">
        <v>2842</v>
      </c>
      <c r="C1346" s="1" t="s">
        <v>2839</v>
      </c>
      <c r="D1346" s="1" t="s">
        <v>2840</v>
      </c>
      <c r="E1346" s="1" t="s">
        <v>2843</v>
      </c>
      <c r="F1346" s="1" t="str">
        <f>HYPERLINK("https://talan.bank.gov.ua/get-user-certificate/J5325pKIPOjEL4GVuMLH","Завантажити сертифікат")</f>
        <v>Завантажити сертифікат</v>
      </c>
    </row>
    <row r="1347" spans="1:6" ht="43.2" x14ac:dyDescent="0.3">
      <c r="A1347" s="2">
        <v>1346</v>
      </c>
      <c r="B1347" s="1" t="s">
        <v>2844</v>
      </c>
      <c r="C1347" s="1" t="s">
        <v>2839</v>
      </c>
      <c r="D1347" s="1" t="s">
        <v>2840</v>
      </c>
      <c r="E1347" s="1" t="s">
        <v>2845</v>
      </c>
      <c r="F1347" s="1" t="str">
        <f>HYPERLINK("https://talan.bank.gov.ua/get-user-certificate/J5325MLBTWeP1V0aP4Gn","Завантажити сертифікат")</f>
        <v>Завантажити сертифікат</v>
      </c>
    </row>
    <row r="1348" spans="1:6" ht="43.2" x14ac:dyDescent="0.3">
      <c r="A1348" s="2">
        <v>1347</v>
      </c>
      <c r="B1348" s="1" t="s">
        <v>2846</v>
      </c>
      <c r="C1348" s="1" t="s">
        <v>2839</v>
      </c>
      <c r="D1348" s="1" t="s">
        <v>2840</v>
      </c>
      <c r="E1348" s="1" t="s">
        <v>2847</v>
      </c>
      <c r="F1348" s="1" t="str">
        <f>HYPERLINK("https://talan.bank.gov.ua/get-user-certificate/J5325wbsnu_alnPB8CrH","Завантажити сертифікат")</f>
        <v>Завантажити сертифікат</v>
      </c>
    </row>
    <row r="1349" spans="1:6" ht="43.2" x14ac:dyDescent="0.3">
      <c r="A1349" s="2">
        <v>1348</v>
      </c>
      <c r="B1349" s="1" t="s">
        <v>2848</v>
      </c>
      <c r="C1349" s="1" t="s">
        <v>2839</v>
      </c>
      <c r="D1349" s="1" t="s">
        <v>2840</v>
      </c>
      <c r="E1349" s="1" t="s">
        <v>2849</v>
      </c>
      <c r="F1349" s="1" t="str">
        <f>HYPERLINK("https://talan.bank.gov.ua/get-user-certificate/J5325mQCWzh1IJVlBAva","Завантажити сертифікат")</f>
        <v>Завантажити сертифікат</v>
      </c>
    </row>
    <row r="1350" spans="1:6" ht="43.2" x14ac:dyDescent="0.3">
      <c r="A1350" s="2">
        <v>1349</v>
      </c>
      <c r="B1350" s="1" t="s">
        <v>2850</v>
      </c>
      <c r="C1350" s="1" t="s">
        <v>2851</v>
      </c>
      <c r="D1350" s="1" t="s">
        <v>2852</v>
      </c>
      <c r="E1350" s="1" t="s">
        <v>2853</v>
      </c>
      <c r="F1350" s="1" t="str">
        <f>HYPERLINK("https://talan.bank.gov.ua/get-user-certificate/J5325vxRgzcgRtQ2-Y3i","Завантажити сертифікат")</f>
        <v>Завантажити сертифікат</v>
      </c>
    </row>
    <row r="1351" spans="1:6" ht="43.2" x14ac:dyDescent="0.3">
      <c r="A1351" s="2">
        <v>1350</v>
      </c>
      <c r="B1351" s="1" t="s">
        <v>2854</v>
      </c>
      <c r="C1351" s="1" t="s">
        <v>2851</v>
      </c>
      <c r="D1351" s="1" t="s">
        <v>2852</v>
      </c>
      <c r="E1351" s="1" t="s">
        <v>2855</v>
      </c>
      <c r="F1351" s="1" t="str">
        <f>HYPERLINK("https://talan.bank.gov.ua/get-user-certificate/J5325fTk7flkb7-R3mAO","Завантажити сертифікат")</f>
        <v>Завантажити сертифікат</v>
      </c>
    </row>
    <row r="1352" spans="1:6" ht="43.2" x14ac:dyDescent="0.3">
      <c r="A1352" s="2">
        <v>1351</v>
      </c>
      <c r="B1352" s="1" t="s">
        <v>2856</v>
      </c>
      <c r="C1352" s="1" t="s">
        <v>2851</v>
      </c>
      <c r="D1352" s="1" t="s">
        <v>2852</v>
      </c>
      <c r="E1352" s="1" t="s">
        <v>2857</v>
      </c>
      <c r="F1352" s="1" t="str">
        <f>HYPERLINK("https://talan.bank.gov.ua/get-user-certificate/J5325HB8L8H8xXk0s3AE","Завантажити сертифікат")</f>
        <v>Завантажити сертифікат</v>
      </c>
    </row>
    <row r="1353" spans="1:6" ht="43.2" x14ac:dyDescent="0.3">
      <c r="A1353" s="2">
        <v>1352</v>
      </c>
      <c r="B1353" s="1" t="s">
        <v>2858</v>
      </c>
      <c r="C1353" s="1" t="s">
        <v>2851</v>
      </c>
      <c r="D1353" s="1" t="s">
        <v>2852</v>
      </c>
      <c r="E1353" s="1" t="s">
        <v>2859</v>
      </c>
      <c r="F1353" s="1" t="str">
        <f>HYPERLINK("https://talan.bank.gov.ua/get-user-certificate/J53251IAO4N10NjKwhBh","Завантажити сертифікат")</f>
        <v>Завантажити сертифікат</v>
      </c>
    </row>
    <row r="1354" spans="1:6" ht="43.2" x14ac:dyDescent="0.3">
      <c r="A1354" s="2">
        <v>1353</v>
      </c>
      <c r="B1354" s="1" t="s">
        <v>2860</v>
      </c>
      <c r="C1354" s="1" t="s">
        <v>2851</v>
      </c>
      <c r="D1354" s="1" t="s">
        <v>2852</v>
      </c>
      <c r="E1354" s="1" t="s">
        <v>2861</v>
      </c>
      <c r="F1354" s="1" t="str">
        <f>HYPERLINK("https://talan.bank.gov.ua/get-user-certificate/J5325FMnSZ_GQr_42YNl","Завантажити сертифікат")</f>
        <v>Завантажити сертифікат</v>
      </c>
    </row>
    <row r="1355" spans="1:6" ht="43.2" x14ac:dyDescent="0.3">
      <c r="A1355" s="2">
        <v>1354</v>
      </c>
      <c r="B1355" s="1" t="s">
        <v>2862</v>
      </c>
      <c r="C1355" s="1" t="s">
        <v>2851</v>
      </c>
      <c r="D1355" s="1" t="s">
        <v>2852</v>
      </c>
      <c r="E1355" s="1" t="s">
        <v>2863</v>
      </c>
      <c r="F1355" s="1" t="str">
        <f>HYPERLINK("https://talan.bank.gov.ua/get-user-certificate/J532577XA2q79qSGczsF","Завантажити сертифікат")</f>
        <v>Завантажити сертифікат</v>
      </c>
    </row>
    <row r="1356" spans="1:6" ht="43.2" x14ac:dyDescent="0.3">
      <c r="A1356" s="2">
        <v>1355</v>
      </c>
      <c r="B1356" s="1" t="s">
        <v>2864</v>
      </c>
      <c r="C1356" s="1" t="s">
        <v>2851</v>
      </c>
      <c r="D1356" s="1" t="s">
        <v>2852</v>
      </c>
      <c r="E1356" s="1" t="s">
        <v>2865</v>
      </c>
      <c r="F1356" s="1" t="str">
        <f>HYPERLINK("https://talan.bank.gov.ua/get-user-certificate/J5325_1JC88JUw9LNk7T","Завантажити сертифікат")</f>
        <v>Завантажити сертифікат</v>
      </c>
    </row>
    <row r="1357" spans="1:6" ht="43.2" x14ac:dyDescent="0.3">
      <c r="A1357" s="2">
        <v>1356</v>
      </c>
      <c r="B1357" s="1" t="s">
        <v>2866</v>
      </c>
      <c r="C1357" s="1" t="s">
        <v>2851</v>
      </c>
      <c r="D1357" s="1" t="s">
        <v>2852</v>
      </c>
      <c r="E1357" s="1" t="s">
        <v>2867</v>
      </c>
      <c r="F1357" s="1" t="str">
        <f>HYPERLINK("https://talan.bank.gov.ua/get-user-certificate/J5325lgyKdJKRHJCQ9jW","Завантажити сертифікат")</f>
        <v>Завантажити сертифікат</v>
      </c>
    </row>
    <row r="1358" spans="1:6" ht="28.8" x14ac:dyDescent="0.3">
      <c r="A1358" s="2">
        <v>1357</v>
      </c>
      <c r="B1358" s="1" t="s">
        <v>2868</v>
      </c>
      <c r="C1358" s="1" t="s">
        <v>2869</v>
      </c>
      <c r="D1358" s="1" t="s">
        <v>2870</v>
      </c>
      <c r="E1358" s="1" t="s">
        <v>2871</v>
      </c>
      <c r="F1358" s="1" t="str">
        <f>HYPERLINK("https://talan.bank.gov.ua/get-user-certificate/J5325-77buJDy72_pWMM","Завантажити сертифікат")</f>
        <v>Завантажити сертифікат</v>
      </c>
    </row>
    <row r="1359" spans="1:6" ht="28.8" x14ac:dyDescent="0.3">
      <c r="A1359" s="2">
        <v>1358</v>
      </c>
      <c r="B1359" s="1" t="s">
        <v>2872</v>
      </c>
      <c r="C1359" s="1" t="s">
        <v>2869</v>
      </c>
      <c r="D1359" s="1" t="s">
        <v>2870</v>
      </c>
      <c r="E1359" s="1" t="s">
        <v>2873</v>
      </c>
      <c r="F1359" s="1" t="str">
        <f>HYPERLINK("https://talan.bank.gov.ua/get-user-certificate/J53250jqlpPXGK7BERSY","Завантажити сертифікат")</f>
        <v>Завантажити сертифікат</v>
      </c>
    </row>
    <row r="1360" spans="1:6" ht="28.8" x14ac:dyDescent="0.3">
      <c r="A1360" s="2">
        <v>1359</v>
      </c>
      <c r="B1360" s="1" t="s">
        <v>2874</v>
      </c>
      <c r="C1360" s="1" t="s">
        <v>2869</v>
      </c>
      <c r="D1360" s="1" t="s">
        <v>2870</v>
      </c>
      <c r="E1360" s="1" t="s">
        <v>2875</v>
      </c>
      <c r="F1360" s="1" t="str">
        <f>HYPERLINK("https://talan.bank.gov.ua/get-user-certificate/J5325kIxb1xVEnL-Sd5L","Завантажити сертифікат")</f>
        <v>Завантажити сертифікат</v>
      </c>
    </row>
    <row r="1361" spans="1:6" ht="28.8" x14ac:dyDescent="0.3">
      <c r="A1361" s="2">
        <v>1360</v>
      </c>
      <c r="B1361" s="1" t="s">
        <v>2876</v>
      </c>
      <c r="C1361" s="1" t="s">
        <v>2869</v>
      </c>
      <c r="D1361" s="1" t="s">
        <v>2870</v>
      </c>
      <c r="E1361" s="1" t="s">
        <v>2877</v>
      </c>
      <c r="F1361" s="1" t="str">
        <f>HYPERLINK("https://talan.bank.gov.ua/get-user-certificate/J5325RuNn2Pvf6kzxWMT","Завантажити сертифікат")</f>
        <v>Завантажити сертифікат</v>
      </c>
    </row>
    <row r="1362" spans="1:6" ht="28.8" x14ac:dyDescent="0.3">
      <c r="A1362" s="2">
        <v>1361</v>
      </c>
      <c r="B1362" s="1" t="s">
        <v>2878</v>
      </c>
      <c r="C1362" s="1" t="s">
        <v>2869</v>
      </c>
      <c r="D1362" s="1" t="s">
        <v>2870</v>
      </c>
      <c r="E1362" s="1" t="s">
        <v>2879</v>
      </c>
      <c r="F1362" s="1" t="str">
        <f>HYPERLINK("https://talan.bank.gov.ua/get-user-certificate/J5325RCirqSWXhxavJbK","Завантажити сертифікат")</f>
        <v>Завантажити сертифікат</v>
      </c>
    </row>
    <row r="1363" spans="1:6" ht="28.8" x14ac:dyDescent="0.3">
      <c r="A1363" s="2">
        <v>1362</v>
      </c>
      <c r="B1363" s="1" t="s">
        <v>2880</v>
      </c>
      <c r="C1363" s="1" t="s">
        <v>2869</v>
      </c>
      <c r="D1363" s="1" t="s">
        <v>2870</v>
      </c>
      <c r="E1363" s="1" t="s">
        <v>2881</v>
      </c>
      <c r="F1363" s="1" t="str">
        <f>HYPERLINK("https://talan.bank.gov.ua/get-user-certificate/J5325eyBbZJ1GIGwe1tL","Завантажити сертифікат")</f>
        <v>Завантажити сертифікат</v>
      </c>
    </row>
    <row r="1364" spans="1:6" ht="28.8" x14ac:dyDescent="0.3">
      <c r="A1364" s="2">
        <v>1363</v>
      </c>
      <c r="B1364" s="1" t="s">
        <v>2882</v>
      </c>
      <c r="C1364" s="1" t="s">
        <v>2869</v>
      </c>
      <c r="D1364" s="1" t="s">
        <v>2870</v>
      </c>
      <c r="E1364" s="1" t="s">
        <v>2883</v>
      </c>
      <c r="F1364" s="1" t="str">
        <f>HYPERLINK("https://talan.bank.gov.ua/get-user-certificate/J5325m8QYKHWcsgcJmEn","Завантажити сертифікат")</f>
        <v>Завантажити сертифікат</v>
      </c>
    </row>
    <row r="1365" spans="1:6" ht="28.8" x14ac:dyDescent="0.3">
      <c r="A1365" s="2">
        <v>1364</v>
      </c>
      <c r="B1365" s="1" t="s">
        <v>2884</v>
      </c>
      <c r="C1365" s="1" t="s">
        <v>2869</v>
      </c>
      <c r="D1365" s="1" t="s">
        <v>2870</v>
      </c>
      <c r="E1365" s="1" t="s">
        <v>2885</v>
      </c>
      <c r="F1365" s="1" t="str">
        <f>HYPERLINK("https://talan.bank.gov.ua/get-user-certificate/J5325szm8HIQZUfalSPJ","Завантажити сертифікат")</f>
        <v>Завантажити сертифікат</v>
      </c>
    </row>
    <row r="1366" spans="1:6" ht="57.6" x14ac:dyDescent="0.3">
      <c r="A1366" s="2">
        <v>1365</v>
      </c>
      <c r="B1366" s="1" t="s">
        <v>2886</v>
      </c>
      <c r="C1366" s="1" t="s">
        <v>2887</v>
      </c>
      <c r="D1366" s="1" t="s">
        <v>2888</v>
      </c>
      <c r="E1366" s="1" t="s">
        <v>2889</v>
      </c>
      <c r="F1366" s="1" t="str">
        <f>HYPERLINK("https://talan.bank.gov.ua/get-user-certificate/J5325RnvCXxkMi7bOS8z","Завантажити сертифікат")</f>
        <v>Завантажити сертифікат</v>
      </c>
    </row>
    <row r="1367" spans="1:6" ht="57.6" x14ac:dyDescent="0.3">
      <c r="A1367" s="2">
        <v>1366</v>
      </c>
      <c r="B1367" s="1" t="s">
        <v>2890</v>
      </c>
      <c r="C1367" s="1" t="s">
        <v>2887</v>
      </c>
      <c r="D1367" s="1" t="s">
        <v>2888</v>
      </c>
      <c r="E1367" s="1" t="s">
        <v>2891</v>
      </c>
      <c r="F1367" s="1" t="str">
        <f>HYPERLINK("https://talan.bank.gov.ua/get-user-certificate/J53254Lllj0GEy4uOCv5","Завантажити сертифікат")</f>
        <v>Завантажити сертифікат</v>
      </c>
    </row>
    <row r="1368" spans="1:6" ht="57.6" x14ac:dyDescent="0.3">
      <c r="A1368" s="2">
        <v>1367</v>
      </c>
      <c r="B1368" s="1" t="s">
        <v>2892</v>
      </c>
      <c r="C1368" s="1" t="s">
        <v>2887</v>
      </c>
      <c r="D1368" s="1" t="s">
        <v>2888</v>
      </c>
      <c r="E1368" s="1" t="s">
        <v>2893</v>
      </c>
      <c r="F1368" s="1" t="str">
        <f>HYPERLINK("https://talan.bank.gov.ua/get-user-certificate/J5325EpXh-78hUSWII6x","Завантажити сертифікат")</f>
        <v>Завантажити сертифікат</v>
      </c>
    </row>
    <row r="1369" spans="1:6" ht="57.6" x14ac:dyDescent="0.3">
      <c r="A1369" s="2">
        <v>1368</v>
      </c>
      <c r="B1369" s="1" t="s">
        <v>2894</v>
      </c>
      <c r="C1369" s="1" t="s">
        <v>2887</v>
      </c>
      <c r="D1369" s="1" t="s">
        <v>2888</v>
      </c>
      <c r="E1369" s="1" t="s">
        <v>2895</v>
      </c>
      <c r="F1369" s="1" t="str">
        <f>HYPERLINK("https://talan.bank.gov.ua/get-user-certificate/J53250uUdmn_PV64wxNz","Завантажити сертифікат")</f>
        <v>Завантажити сертифікат</v>
      </c>
    </row>
    <row r="1370" spans="1:6" ht="57.6" x14ac:dyDescent="0.3">
      <c r="A1370" s="2">
        <v>1369</v>
      </c>
      <c r="B1370" s="1" t="s">
        <v>2896</v>
      </c>
      <c r="C1370" s="1" t="s">
        <v>2887</v>
      </c>
      <c r="D1370" s="1" t="s">
        <v>2888</v>
      </c>
      <c r="E1370" s="1" t="s">
        <v>2897</v>
      </c>
      <c r="F1370" s="1" t="str">
        <f>HYPERLINK("https://talan.bank.gov.ua/get-user-certificate/J5325pDT3jPfRMjnlTq1","Завантажити сертифікат")</f>
        <v>Завантажити сертифікат</v>
      </c>
    </row>
    <row r="1371" spans="1:6" ht="57.6" x14ac:dyDescent="0.3">
      <c r="A1371" s="2">
        <v>1370</v>
      </c>
      <c r="B1371" s="1" t="s">
        <v>2898</v>
      </c>
      <c r="C1371" s="1" t="s">
        <v>2887</v>
      </c>
      <c r="D1371" s="1" t="s">
        <v>2888</v>
      </c>
      <c r="E1371" s="1" t="s">
        <v>2899</v>
      </c>
      <c r="F1371" s="1" t="str">
        <f>HYPERLINK("https://talan.bank.gov.ua/get-user-certificate/J53251raHVZEZyZ-0dtO","Завантажити сертифікат")</f>
        <v>Завантажити сертифікат</v>
      </c>
    </row>
    <row r="1372" spans="1:6" ht="57.6" x14ac:dyDescent="0.3">
      <c r="A1372" s="2">
        <v>1371</v>
      </c>
      <c r="B1372" s="1" t="s">
        <v>2900</v>
      </c>
      <c r="C1372" s="1" t="s">
        <v>2887</v>
      </c>
      <c r="D1372" s="1" t="s">
        <v>2888</v>
      </c>
      <c r="E1372" s="1" t="s">
        <v>2901</v>
      </c>
      <c r="F1372" s="1" t="str">
        <f>HYPERLINK("https://talan.bank.gov.ua/get-user-certificate/J5325-iyn-oSGgBlOIBm","Завантажити сертифікат")</f>
        <v>Завантажити сертифікат</v>
      </c>
    </row>
    <row r="1373" spans="1:6" ht="57.6" x14ac:dyDescent="0.3">
      <c r="A1373" s="2">
        <v>1372</v>
      </c>
      <c r="B1373" s="1" t="s">
        <v>2902</v>
      </c>
      <c r="C1373" s="1" t="s">
        <v>2887</v>
      </c>
      <c r="D1373" s="1" t="s">
        <v>2888</v>
      </c>
      <c r="E1373" s="1" t="s">
        <v>2903</v>
      </c>
      <c r="F1373" s="1" t="str">
        <f>HYPERLINK("https://talan.bank.gov.ua/get-user-certificate/J5325oYCcz73ouYrAatl","Завантажити сертифікат")</f>
        <v>Завантажити сертифікат</v>
      </c>
    </row>
    <row r="1374" spans="1:6" ht="28.8" x14ac:dyDescent="0.3">
      <c r="A1374" s="2">
        <v>1373</v>
      </c>
      <c r="B1374" s="1" t="s">
        <v>2904</v>
      </c>
      <c r="C1374" s="1" t="s">
        <v>2905</v>
      </c>
      <c r="D1374" s="1" t="s">
        <v>2906</v>
      </c>
      <c r="E1374" s="1" t="s">
        <v>2907</v>
      </c>
      <c r="F1374" s="1" t="str">
        <f>HYPERLINK("https://talan.bank.gov.ua/get-user-certificate/J5325qn0Thr2ST5WATO0","Завантажити сертифікат")</f>
        <v>Завантажити сертифікат</v>
      </c>
    </row>
    <row r="1375" spans="1:6" ht="28.8" x14ac:dyDescent="0.3">
      <c r="A1375" s="2">
        <v>1374</v>
      </c>
      <c r="B1375" s="1" t="s">
        <v>2908</v>
      </c>
      <c r="C1375" s="1" t="s">
        <v>2905</v>
      </c>
      <c r="D1375" s="1" t="s">
        <v>2906</v>
      </c>
      <c r="E1375" s="1" t="s">
        <v>2909</v>
      </c>
      <c r="F1375" s="1" t="str">
        <f>HYPERLINK("https://talan.bank.gov.ua/get-user-certificate/J5325Iv5_FXtQEh-wBzC","Завантажити сертифікат")</f>
        <v>Завантажити сертифікат</v>
      </c>
    </row>
    <row r="1376" spans="1:6" ht="28.8" x14ac:dyDescent="0.3">
      <c r="A1376" s="2">
        <v>1375</v>
      </c>
      <c r="B1376" s="1" t="s">
        <v>2910</v>
      </c>
      <c r="C1376" s="1" t="s">
        <v>2911</v>
      </c>
      <c r="D1376" s="1" t="s">
        <v>2912</v>
      </c>
      <c r="E1376" s="1" t="s">
        <v>2913</v>
      </c>
      <c r="F1376" s="1" t="str">
        <f>HYPERLINK("https://talan.bank.gov.ua/get-user-certificate/J5325aPTsOzJuHWvA7AM","Завантажити сертифікат")</f>
        <v>Завантажити сертифікат</v>
      </c>
    </row>
    <row r="1377" spans="1:6" ht="28.8" x14ac:dyDescent="0.3">
      <c r="A1377" s="2">
        <v>1376</v>
      </c>
      <c r="B1377" s="1" t="s">
        <v>2914</v>
      </c>
      <c r="C1377" s="1" t="s">
        <v>2911</v>
      </c>
      <c r="D1377" s="1" t="s">
        <v>2912</v>
      </c>
      <c r="E1377" s="1" t="s">
        <v>2915</v>
      </c>
      <c r="F1377" s="1" t="str">
        <f>HYPERLINK("https://talan.bank.gov.ua/get-user-certificate/J5325HOGkFVMAyedyhpx","Завантажити сертифікат")</f>
        <v>Завантажити сертифікат</v>
      </c>
    </row>
    <row r="1378" spans="1:6" ht="28.8" x14ac:dyDescent="0.3">
      <c r="A1378" s="2">
        <v>1377</v>
      </c>
      <c r="B1378" s="1" t="s">
        <v>2916</v>
      </c>
      <c r="C1378" s="1" t="s">
        <v>2911</v>
      </c>
      <c r="D1378" s="1" t="s">
        <v>2912</v>
      </c>
      <c r="E1378" s="1" t="s">
        <v>2917</v>
      </c>
      <c r="F1378" s="1" t="str">
        <f>HYPERLINK("https://talan.bank.gov.ua/get-user-certificate/J5325U5bo-ooyN3g5HrU","Завантажити сертифікат")</f>
        <v>Завантажити сертифікат</v>
      </c>
    </row>
    <row r="1379" spans="1:6" ht="28.8" x14ac:dyDescent="0.3">
      <c r="A1379" s="2">
        <v>1378</v>
      </c>
      <c r="B1379" s="1" t="s">
        <v>2918</v>
      </c>
      <c r="C1379" s="1" t="s">
        <v>2911</v>
      </c>
      <c r="D1379" s="1" t="s">
        <v>2912</v>
      </c>
      <c r="E1379" s="1" t="s">
        <v>2919</v>
      </c>
      <c r="F1379" s="1" t="str">
        <f>HYPERLINK("https://talan.bank.gov.ua/get-user-certificate/J5325vrzao4oosVn7EsA","Завантажити сертифікат")</f>
        <v>Завантажити сертифікат</v>
      </c>
    </row>
    <row r="1380" spans="1:6" ht="28.8" x14ac:dyDescent="0.3">
      <c r="A1380" s="2">
        <v>1379</v>
      </c>
      <c r="B1380" s="1" t="s">
        <v>2920</v>
      </c>
      <c r="C1380" s="1" t="s">
        <v>2911</v>
      </c>
      <c r="D1380" s="1" t="s">
        <v>2912</v>
      </c>
      <c r="E1380" s="1" t="s">
        <v>2921</v>
      </c>
      <c r="F1380" s="1" t="str">
        <f>HYPERLINK("https://talan.bank.gov.ua/get-user-certificate/J5325toBItmvq7n-oTzs","Завантажити сертифікат")</f>
        <v>Завантажити сертифікат</v>
      </c>
    </row>
    <row r="1381" spans="1:6" ht="28.8" x14ac:dyDescent="0.3">
      <c r="A1381" s="2">
        <v>1380</v>
      </c>
      <c r="B1381" s="1" t="s">
        <v>2922</v>
      </c>
      <c r="C1381" s="1" t="s">
        <v>2911</v>
      </c>
      <c r="D1381" s="1" t="s">
        <v>2912</v>
      </c>
      <c r="E1381" s="1" t="s">
        <v>2923</v>
      </c>
      <c r="F1381" s="1" t="str">
        <f>HYPERLINK("https://talan.bank.gov.ua/get-user-certificate/J53259KsEtVivbteuWUM","Завантажити сертифікат")</f>
        <v>Завантажити сертифікат</v>
      </c>
    </row>
    <row r="1382" spans="1:6" ht="28.8" x14ac:dyDescent="0.3">
      <c r="A1382" s="2">
        <v>1381</v>
      </c>
      <c r="B1382" s="1" t="s">
        <v>2924</v>
      </c>
      <c r="C1382" s="1" t="s">
        <v>2911</v>
      </c>
      <c r="D1382" s="1" t="s">
        <v>2912</v>
      </c>
      <c r="E1382" s="1" t="s">
        <v>2925</v>
      </c>
      <c r="F1382" s="1" t="str">
        <f>HYPERLINK("https://talan.bank.gov.ua/get-user-certificate/J5325rpW5ispimz4ZsI1","Завантажити сертифікат")</f>
        <v>Завантажити сертифікат</v>
      </c>
    </row>
    <row r="1383" spans="1:6" ht="28.8" x14ac:dyDescent="0.3">
      <c r="A1383" s="2">
        <v>1382</v>
      </c>
      <c r="B1383" s="1" t="s">
        <v>2926</v>
      </c>
      <c r="C1383" s="1" t="s">
        <v>2911</v>
      </c>
      <c r="D1383" s="1" t="s">
        <v>2912</v>
      </c>
      <c r="E1383" s="1" t="s">
        <v>2927</v>
      </c>
      <c r="F1383" s="1" t="str">
        <f>HYPERLINK("https://talan.bank.gov.ua/get-user-certificate/J5325qR6fysE9GSp-TQO","Завантажити сертифікат")</f>
        <v>Завантажити сертифікат</v>
      </c>
    </row>
    <row r="1384" spans="1:6" ht="28.8" x14ac:dyDescent="0.3">
      <c r="A1384" s="2">
        <v>1383</v>
      </c>
      <c r="B1384" s="1" t="s">
        <v>2928</v>
      </c>
      <c r="C1384" s="1" t="s">
        <v>2911</v>
      </c>
      <c r="D1384" s="1" t="s">
        <v>2912</v>
      </c>
      <c r="E1384" s="1" t="s">
        <v>2929</v>
      </c>
      <c r="F1384" s="1" t="str">
        <f>HYPERLINK("https://talan.bank.gov.ua/get-user-certificate/J5325Sx0I41lBwBU3u9w","Завантажити сертифікат")</f>
        <v>Завантажити сертифікат</v>
      </c>
    </row>
    <row r="1385" spans="1:6" ht="28.8" x14ac:dyDescent="0.3">
      <c r="A1385" s="2">
        <v>1384</v>
      </c>
      <c r="B1385" s="1" t="s">
        <v>2930</v>
      </c>
      <c r="C1385" s="1" t="s">
        <v>2911</v>
      </c>
      <c r="D1385" s="1" t="s">
        <v>2912</v>
      </c>
      <c r="E1385" s="1" t="s">
        <v>2931</v>
      </c>
      <c r="F1385" s="1" t="str">
        <f>HYPERLINK("https://talan.bank.gov.ua/get-user-certificate/J5325HxG-NhevcH6X4a7","Завантажити сертифікат")</f>
        <v>Завантажити сертифікат</v>
      </c>
    </row>
    <row r="1386" spans="1:6" ht="28.8" x14ac:dyDescent="0.3">
      <c r="A1386" s="2">
        <v>1385</v>
      </c>
      <c r="B1386" s="1" t="s">
        <v>2932</v>
      </c>
      <c r="C1386" s="1" t="s">
        <v>2911</v>
      </c>
      <c r="D1386" s="1" t="s">
        <v>2912</v>
      </c>
      <c r="E1386" s="1" t="s">
        <v>2933</v>
      </c>
      <c r="F1386" s="1" t="str">
        <f>HYPERLINK("https://talan.bank.gov.ua/get-user-certificate/J5325hBgWVcY2q-PXaqm","Завантажити сертифікат")</f>
        <v>Завантажити сертифікат</v>
      </c>
    </row>
    <row r="1387" spans="1:6" ht="28.8" x14ac:dyDescent="0.3">
      <c r="A1387" s="2">
        <v>1386</v>
      </c>
      <c r="B1387" s="1" t="s">
        <v>2934</v>
      </c>
      <c r="C1387" s="1" t="s">
        <v>2911</v>
      </c>
      <c r="D1387" s="1" t="s">
        <v>2912</v>
      </c>
      <c r="E1387" s="1" t="s">
        <v>2935</v>
      </c>
      <c r="F1387" s="1" t="str">
        <f>HYPERLINK("https://talan.bank.gov.ua/get-user-certificate/J5325WjDgjL_NyaG4qAZ","Завантажити сертифікат")</f>
        <v>Завантажити сертифікат</v>
      </c>
    </row>
    <row r="1388" spans="1:6" ht="28.8" x14ac:dyDescent="0.3">
      <c r="A1388" s="2">
        <v>1387</v>
      </c>
      <c r="B1388" s="1" t="s">
        <v>2936</v>
      </c>
      <c r="C1388" s="1" t="s">
        <v>2911</v>
      </c>
      <c r="D1388" s="1" t="s">
        <v>2912</v>
      </c>
      <c r="E1388" s="1" t="s">
        <v>2937</v>
      </c>
      <c r="F1388" s="1" t="str">
        <f>HYPERLINK("https://talan.bank.gov.ua/get-user-certificate/J5325EjVo8ZtS7lrECtO","Завантажити сертифікат")</f>
        <v>Завантажити сертифікат</v>
      </c>
    </row>
    <row r="1389" spans="1:6" ht="28.8" x14ac:dyDescent="0.3">
      <c r="A1389" s="2">
        <v>1388</v>
      </c>
      <c r="B1389" s="1" t="s">
        <v>2938</v>
      </c>
      <c r="C1389" s="1" t="s">
        <v>2911</v>
      </c>
      <c r="D1389" s="1" t="s">
        <v>2912</v>
      </c>
      <c r="E1389" s="1" t="s">
        <v>2939</v>
      </c>
      <c r="F1389" s="1" t="str">
        <f>HYPERLINK("https://talan.bank.gov.ua/get-user-certificate/J5325QdvA_NxmHZLyAJB","Завантажити сертифікат")</f>
        <v>Завантажити сертифікат</v>
      </c>
    </row>
    <row r="1390" spans="1:6" ht="28.8" x14ac:dyDescent="0.3">
      <c r="A1390" s="2">
        <v>1389</v>
      </c>
      <c r="B1390" s="1" t="s">
        <v>2940</v>
      </c>
      <c r="C1390" s="1" t="s">
        <v>2911</v>
      </c>
      <c r="D1390" s="1" t="s">
        <v>2912</v>
      </c>
      <c r="E1390" s="1" t="s">
        <v>2941</v>
      </c>
      <c r="F1390" s="1" t="str">
        <f>HYPERLINK("https://talan.bank.gov.ua/get-user-certificate/J5325NwIbKT-UElEP_pP","Завантажити сертифікат")</f>
        <v>Завантажити сертифікат</v>
      </c>
    </row>
    <row r="1391" spans="1:6" ht="28.8" x14ac:dyDescent="0.3">
      <c r="A1391" s="2">
        <v>1390</v>
      </c>
      <c r="B1391" s="1" t="s">
        <v>2942</v>
      </c>
      <c r="C1391" s="1" t="s">
        <v>2911</v>
      </c>
      <c r="D1391" s="1" t="s">
        <v>2912</v>
      </c>
      <c r="E1391" s="1" t="s">
        <v>2943</v>
      </c>
      <c r="F1391" s="1" t="str">
        <f>HYPERLINK("https://talan.bank.gov.ua/get-user-certificate/J5325U7GXQUkFMV3uJ7o","Завантажити сертифікат")</f>
        <v>Завантажити сертифікат</v>
      </c>
    </row>
    <row r="1392" spans="1:6" ht="28.8" x14ac:dyDescent="0.3">
      <c r="A1392" s="2">
        <v>1391</v>
      </c>
      <c r="B1392" s="1" t="s">
        <v>2944</v>
      </c>
      <c r="C1392" s="1" t="s">
        <v>2911</v>
      </c>
      <c r="D1392" s="1" t="s">
        <v>2912</v>
      </c>
      <c r="E1392" s="1" t="s">
        <v>2945</v>
      </c>
      <c r="F1392" s="1" t="str">
        <f>HYPERLINK("https://talan.bank.gov.ua/get-user-certificate/J5325ZY2P6cY7k77SQHh","Завантажити сертифікат")</f>
        <v>Завантажити сертифікат</v>
      </c>
    </row>
    <row r="1393" spans="1:6" ht="28.8" x14ac:dyDescent="0.3">
      <c r="A1393" s="2">
        <v>1392</v>
      </c>
      <c r="B1393" s="1" t="s">
        <v>2946</v>
      </c>
      <c r="C1393" s="1" t="s">
        <v>2911</v>
      </c>
      <c r="D1393" s="1" t="s">
        <v>2912</v>
      </c>
      <c r="E1393" s="1" t="s">
        <v>2947</v>
      </c>
      <c r="F1393" s="1" t="str">
        <f>HYPERLINK("https://talan.bank.gov.ua/get-user-certificate/J5325sd2GWSlCKpzGj2m","Завантажити сертифікат")</f>
        <v>Завантажити сертифікат</v>
      </c>
    </row>
    <row r="1394" spans="1:6" ht="28.8" x14ac:dyDescent="0.3">
      <c r="A1394" s="2">
        <v>1393</v>
      </c>
      <c r="B1394" s="1" t="s">
        <v>2948</v>
      </c>
      <c r="C1394" s="1" t="s">
        <v>2911</v>
      </c>
      <c r="D1394" s="1" t="s">
        <v>2912</v>
      </c>
      <c r="E1394" s="1" t="s">
        <v>2949</v>
      </c>
      <c r="F1394" s="1" t="str">
        <f>HYPERLINK("https://talan.bank.gov.ua/get-user-certificate/J53254myLvZiaginWois","Завантажити сертифікат")</f>
        <v>Завантажити сертифікат</v>
      </c>
    </row>
    <row r="1395" spans="1:6" ht="28.8" x14ac:dyDescent="0.3">
      <c r="A1395" s="2">
        <v>1394</v>
      </c>
      <c r="B1395" s="1" t="s">
        <v>2950</v>
      </c>
      <c r="C1395" s="1" t="s">
        <v>2911</v>
      </c>
      <c r="D1395" s="1" t="s">
        <v>2912</v>
      </c>
      <c r="E1395" s="1" t="s">
        <v>2951</v>
      </c>
      <c r="F1395" s="1" t="str">
        <f>HYPERLINK("https://talan.bank.gov.ua/get-user-certificate/J5325OhfvasmlfCfHTwe","Завантажити сертифікат")</f>
        <v>Завантажити сертифікат</v>
      </c>
    </row>
    <row r="1396" spans="1:6" ht="28.8" x14ac:dyDescent="0.3">
      <c r="A1396" s="2">
        <v>1395</v>
      </c>
      <c r="B1396" s="1" t="s">
        <v>2952</v>
      </c>
      <c r="C1396" s="1" t="s">
        <v>2911</v>
      </c>
      <c r="D1396" s="1" t="s">
        <v>2912</v>
      </c>
      <c r="E1396" s="1" t="s">
        <v>2953</v>
      </c>
      <c r="F1396" s="1" t="str">
        <f>HYPERLINK("https://talan.bank.gov.ua/get-user-certificate/J5325uvAfD6l6Vqu_UHA","Завантажити сертифікат")</f>
        <v>Завантажити сертифікат</v>
      </c>
    </row>
    <row r="1397" spans="1:6" ht="28.8" x14ac:dyDescent="0.3">
      <c r="A1397" s="2">
        <v>1396</v>
      </c>
      <c r="B1397" s="1" t="s">
        <v>2954</v>
      </c>
      <c r="C1397" s="1" t="s">
        <v>2911</v>
      </c>
      <c r="D1397" s="1" t="s">
        <v>2912</v>
      </c>
      <c r="E1397" s="1" t="s">
        <v>2955</v>
      </c>
      <c r="F1397" s="1" t="str">
        <f>HYPERLINK("https://talan.bank.gov.ua/get-user-certificate/J532516i_u5QuIp0t-zE","Завантажити сертифікат")</f>
        <v>Завантажити сертифікат</v>
      </c>
    </row>
    <row r="1398" spans="1:6" ht="28.8" x14ac:dyDescent="0.3">
      <c r="A1398" s="2">
        <v>1397</v>
      </c>
      <c r="B1398" s="1" t="s">
        <v>2956</v>
      </c>
      <c r="C1398" s="1" t="s">
        <v>2911</v>
      </c>
      <c r="D1398" s="1" t="s">
        <v>2912</v>
      </c>
      <c r="E1398" s="1" t="s">
        <v>2957</v>
      </c>
      <c r="F1398" s="1" t="str">
        <f>HYPERLINK("https://talan.bank.gov.ua/get-user-certificate/J5325Wa_ET148NbiJ8HE","Завантажити сертифікат")</f>
        <v>Завантажити сертифікат</v>
      </c>
    </row>
    <row r="1399" spans="1:6" ht="28.8" x14ac:dyDescent="0.3">
      <c r="A1399" s="2">
        <v>1398</v>
      </c>
      <c r="B1399" s="1" t="s">
        <v>2958</v>
      </c>
      <c r="C1399" s="1" t="s">
        <v>2911</v>
      </c>
      <c r="D1399" s="1" t="s">
        <v>2912</v>
      </c>
      <c r="E1399" s="1" t="s">
        <v>2959</v>
      </c>
      <c r="F1399" s="1" t="str">
        <f>HYPERLINK("https://talan.bank.gov.ua/get-user-certificate/J53253BT5KWGObzVyU0A","Завантажити сертифікат")</f>
        <v>Завантажити сертифікат</v>
      </c>
    </row>
    <row r="1400" spans="1:6" ht="28.8" x14ac:dyDescent="0.3">
      <c r="A1400" s="2">
        <v>1399</v>
      </c>
      <c r="B1400" s="1" t="s">
        <v>2960</v>
      </c>
      <c r="C1400" s="1" t="s">
        <v>2911</v>
      </c>
      <c r="D1400" s="1" t="s">
        <v>2912</v>
      </c>
      <c r="E1400" s="1" t="s">
        <v>2961</v>
      </c>
      <c r="F1400" s="1" t="str">
        <f>HYPERLINK("https://talan.bank.gov.ua/get-user-certificate/J5325EfPVCmuBrpyh5hf","Завантажити сертифікат")</f>
        <v>Завантажити сертифікат</v>
      </c>
    </row>
    <row r="1401" spans="1:6" ht="28.8" x14ac:dyDescent="0.3">
      <c r="A1401" s="2">
        <v>1400</v>
      </c>
      <c r="B1401" s="1" t="s">
        <v>2962</v>
      </c>
      <c r="C1401" s="1" t="s">
        <v>2911</v>
      </c>
      <c r="D1401" s="1" t="s">
        <v>2912</v>
      </c>
      <c r="E1401" s="1" t="s">
        <v>2963</v>
      </c>
      <c r="F1401" s="1" t="str">
        <f>HYPERLINK("https://talan.bank.gov.ua/get-user-certificate/J5325IVJVwjOhDzcw2fs","Завантажити сертифікат")</f>
        <v>Завантажити сертифікат</v>
      </c>
    </row>
    <row r="1402" spans="1:6" ht="28.8" x14ac:dyDescent="0.3">
      <c r="A1402" s="2">
        <v>1401</v>
      </c>
      <c r="B1402" s="1" t="s">
        <v>2964</v>
      </c>
      <c r="C1402" s="1" t="s">
        <v>2911</v>
      </c>
      <c r="D1402" s="1" t="s">
        <v>2912</v>
      </c>
      <c r="E1402" s="1" t="s">
        <v>2965</v>
      </c>
      <c r="F1402" s="1" t="str">
        <f>HYPERLINK("https://talan.bank.gov.ua/get-user-certificate/J5325MqWuaPSNFY1ZF-0","Завантажити сертифікат")</f>
        <v>Завантажити сертифікат</v>
      </c>
    </row>
    <row r="1403" spans="1:6" x14ac:dyDescent="0.3">
      <c r="A1403" s="2">
        <v>1402</v>
      </c>
      <c r="B1403" s="1" t="s">
        <v>2966</v>
      </c>
      <c r="C1403" s="1" t="s">
        <v>2967</v>
      </c>
      <c r="D1403" s="1" t="s">
        <v>2968</v>
      </c>
      <c r="E1403" s="1" t="s">
        <v>2969</v>
      </c>
      <c r="F1403" s="1" t="str">
        <f>HYPERLINK("https://talan.bank.gov.ua/get-user-certificate/J5325Qt-gN4eeHs0r2hH","Завантажити сертифікат")</f>
        <v>Завантажити сертифікат</v>
      </c>
    </row>
    <row r="1404" spans="1:6" x14ac:dyDescent="0.3">
      <c r="A1404" s="2">
        <v>1403</v>
      </c>
      <c r="B1404" s="1" t="s">
        <v>2970</v>
      </c>
      <c r="C1404" s="1" t="s">
        <v>2967</v>
      </c>
      <c r="D1404" s="1" t="s">
        <v>2968</v>
      </c>
      <c r="E1404" s="1" t="s">
        <v>2971</v>
      </c>
      <c r="F1404" s="1" t="str">
        <f>HYPERLINK("https://talan.bank.gov.ua/get-user-certificate/J5325Mib6hKtduea4Wan","Завантажити сертифікат")</f>
        <v>Завантажити сертифікат</v>
      </c>
    </row>
    <row r="1405" spans="1:6" x14ac:dyDescent="0.3">
      <c r="A1405" s="2">
        <v>1404</v>
      </c>
      <c r="B1405" s="1" t="s">
        <v>2972</v>
      </c>
      <c r="C1405" s="1" t="s">
        <v>2967</v>
      </c>
      <c r="D1405" s="1" t="s">
        <v>2968</v>
      </c>
      <c r="E1405" s="1" t="s">
        <v>2973</v>
      </c>
      <c r="F1405" s="1" t="str">
        <f>HYPERLINK("https://talan.bank.gov.ua/get-user-certificate/J5325q8FcuyxNhdcgccD","Завантажити сертифікат")</f>
        <v>Завантажити сертифікат</v>
      </c>
    </row>
    <row r="1406" spans="1:6" x14ac:dyDescent="0.3">
      <c r="A1406" s="2">
        <v>1405</v>
      </c>
      <c r="B1406" s="1" t="s">
        <v>2974</v>
      </c>
      <c r="C1406" s="1" t="s">
        <v>2967</v>
      </c>
      <c r="D1406" s="1" t="s">
        <v>2968</v>
      </c>
      <c r="E1406" s="1" t="s">
        <v>2975</v>
      </c>
      <c r="F1406" s="1" t="str">
        <f>HYPERLINK("https://talan.bank.gov.ua/get-user-certificate/J5325oj_HKGgtNviv9r1","Завантажити сертифікат")</f>
        <v>Завантажити сертифікат</v>
      </c>
    </row>
    <row r="1407" spans="1:6" x14ac:dyDescent="0.3">
      <c r="A1407" s="2">
        <v>1406</v>
      </c>
      <c r="B1407" s="1" t="s">
        <v>2976</v>
      </c>
      <c r="C1407" s="1" t="s">
        <v>2967</v>
      </c>
      <c r="D1407" s="1" t="s">
        <v>2968</v>
      </c>
      <c r="E1407" s="1" t="s">
        <v>2977</v>
      </c>
      <c r="F1407" s="1" t="str">
        <f>HYPERLINK("https://talan.bank.gov.ua/get-user-certificate/J532582IZ-eAiqLHp-Qr","Завантажити сертифікат")</f>
        <v>Завантажити сертифікат</v>
      </c>
    </row>
    <row r="1408" spans="1:6" x14ac:dyDescent="0.3">
      <c r="A1408" s="2">
        <v>1407</v>
      </c>
      <c r="B1408" s="1" t="s">
        <v>2978</v>
      </c>
      <c r="C1408" s="1" t="s">
        <v>2967</v>
      </c>
      <c r="D1408" s="1" t="s">
        <v>2968</v>
      </c>
      <c r="E1408" s="1" t="s">
        <v>2979</v>
      </c>
      <c r="F1408" s="1" t="str">
        <f>HYPERLINK("https://talan.bank.gov.ua/get-user-certificate/J5325uq1CmNOt-1tAapG","Завантажити сертифікат")</f>
        <v>Завантажити сертифікат</v>
      </c>
    </row>
    <row r="1409" spans="1:6" x14ac:dyDescent="0.3">
      <c r="A1409" s="2">
        <v>1408</v>
      </c>
      <c r="B1409" s="1" t="s">
        <v>2980</v>
      </c>
      <c r="C1409" s="1" t="s">
        <v>2967</v>
      </c>
      <c r="D1409" s="1" t="s">
        <v>2968</v>
      </c>
      <c r="E1409" s="1" t="s">
        <v>2981</v>
      </c>
      <c r="F1409" s="1" t="str">
        <f>HYPERLINK("https://talan.bank.gov.ua/get-user-certificate/J5325mlJb8S-4OhvvNWP","Завантажити сертифікат")</f>
        <v>Завантажити сертифікат</v>
      </c>
    </row>
    <row r="1410" spans="1:6" x14ac:dyDescent="0.3">
      <c r="A1410" s="2">
        <v>1409</v>
      </c>
      <c r="B1410" s="1" t="s">
        <v>2982</v>
      </c>
      <c r="C1410" s="1" t="s">
        <v>2967</v>
      </c>
      <c r="D1410" s="1" t="s">
        <v>2968</v>
      </c>
      <c r="E1410" s="1" t="s">
        <v>2983</v>
      </c>
      <c r="F1410" s="1" t="str">
        <f>HYPERLINK("https://talan.bank.gov.ua/get-user-certificate/J5325vvpG_EG2_wIeyRL","Завантажити сертифікат")</f>
        <v>Завантажити сертифікат</v>
      </c>
    </row>
    <row r="1411" spans="1:6" x14ac:dyDescent="0.3">
      <c r="A1411" s="2">
        <v>1410</v>
      </c>
      <c r="B1411" s="1" t="s">
        <v>2984</v>
      </c>
      <c r="C1411" s="1" t="s">
        <v>2967</v>
      </c>
      <c r="D1411" s="1" t="s">
        <v>2968</v>
      </c>
      <c r="E1411" s="1" t="s">
        <v>2985</v>
      </c>
      <c r="F1411" s="1" t="str">
        <f>HYPERLINK("https://talan.bank.gov.ua/get-user-certificate/J5325Sqsb9D5KyxeXTDk","Завантажити сертифікат")</f>
        <v>Завантажити сертифікат</v>
      </c>
    </row>
    <row r="1412" spans="1:6" x14ac:dyDescent="0.3">
      <c r="A1412" s="2">
        <v>1411</v>
      </c>
      <c r="B1412" s="1" t="s">
        <v>2986</v>
      </c>
      <c r="C1412" s="1" t="s">
        <v>2967</v>
      </c>
      <c r="D1412" s="1" t="s">
        <v>2968</v>
      </c>
      <c r="E1412" s="1" t="s">
        <v>2987</v>
      </c>
      <c r="F1412" s="1" t="str">
        <f>HYPERLINK("https://talan.bank.gov.ua/get-user-certificate/J5325JeAF8iPc7Cn39He","Завантажити сертифікат")</f>
        <v>Завантажити сертифікат</v>
      </c>
    </row>
    <row r="1413" spans="1:6" x14ac:dyDescent="0.3">
      <c r="A1413" s="2">
        <v>1412</v>
      </c>
      <c r="B1413" s="1" t="s">
        <v>2988</v>
      </c>
      <c r="C1413" s="1" t="s">
        <v>2967</v>
      </c>
      <c r="D1413" s="1" t="s">
        <v>2968</v>
      </c>
      <c r="E1413" s="1" t="s">
        <v>2989</v>
      </c>
      <c r="F1413" s="1" t="str">
        <f>HYPERLINK("https://talan.bank.gov.ua/get-user-certificate/J5325aID4l4jYd-5c8Y2","Завантажити сертифікат")</f>
        <v>Завантажити сертифікат</v>
      </c>
    </row>
    <row r="1414" spans="1:6" x14ac:dyDescent="0.3">
      <c r="A1414" s="2">
        <v>1413</v>
      </c>
      <c r="B1414" s="1" t="s">
        <v>2990</v>
      </c>
      <c r="C1414" s="1" t="s">
        <v>2967</v>
      </c>
      <c r="D1414" s="1" t="s">
        <v>2968</v>
      </c>
      <c r="E1414" s="1" t="s">
        <v>2991</v>
      </c>
      <c r="F1414" s="1" t="str">
        <f>HYPERLINK("https://talan.bank.gov.ua/get-user-certificate/J5325FLvqoG-0VI778b2","Завантажити сертифікат")</f>
        <v>Завантажити сертифікат</v>
      </c>
    </row>
    <row r="1415" spans="1:6" x14ac:dyDescent="0.3">
      <c r="A1415" s="2">
        <v>1414</v>
      </c>
      <c r="B1415" s="1" t="s">
        <v>2992</v>
      </c>
      <c r="C1415" s="1" t="s">
        <v>2967</v>
      </c>
      <c r="D1415" s="1" t="s">
        <v>2968</v>
      </c>
      <c r="E1415" s="1" t="s">
        <v>2993</v>
      </c>
      <c r="F1415" s="1" t="str">
        <f>HYPERLINK("https://talan.bank.gov.ua/get-user-certificate/J5325HDjl8NyRS4Ik83K","Завантажити сертифікат")</f>
        <v>Завантажити сертифікат</v>
      </c>
    </row>
    <row r="1416" spans="1:6" x14ac:dyDescent="0.3">
      <c r="A1416" s="2">
        <v>1415</v>
      </c>
      <c r="B1416" s="1" t="s">
        <v>2994</v>
      </c>
      <c r="C1416" s="1" t="s">
        <v>2967</v>
      </c>
      <c r="D1416" s="1" t="s">
        <v>2968</v>
      </c>
      <c r="E1416" s="1" t="s">
        <v>2995</v>
      </c>
      <c r="F1416" s="1" t="str">
        <f>HYPERLINK("https://talan.bank.gov.ua/get-user-certificate/J5325_hwy2cSo0223I-H","Завантажити сертифікат")</f>
        <v>Завантажити сертифікат</v>
      </c>
    </row>
    <row r="1417" spans="1:6" x14ac:dyDescent="0.3">
      <c r="A1417" s="2">
        <v>1416</v>
      </c>
      <c r="B1417" s="1" t="s">
        <v>2996</v>
      </c>
      <c r="C1417" s="1" t="s">
        <v>2967</v>
      </c>
      <c r="D1417" s="1" t="s">
        <v>2968</v>
      </c>
      <c r="E1417" s="1" t="s">
        <v>2997</v>
      </c>
      <c r="F1417" s="1" t="str">
        <f>HYPERLINK("https://talan.bank.gov.ua/get-user-certificate/J5325MELXZOqoVv9XcVZ","Завантажити сертифікат")</f>
        <v>Завантажити сертифікат</v>
      </c>
    </row>
    <row r="1418" spans="1:6" x14ac:dyDescent="0.3">
      <c r="A1418" s="2">
        <v>1417</v>
      </c>
      <c r="B1418" s="1" t="s">
        <v>2998</v>
      </c>
      <c r="C1418" s="1" t="s">
        <v>2967</v>
      </c>
      <c r="D1418" s="1" t="s">
        <v>2968</v>
      </c>
      <c r="E1418" s="1" t="s">
        <v>2999</v>
      </c>
      <c r="F1418" s="1" t="str">
        <f>HYPERLINK("https://talan.bank.gov.ua/get-user-certificate/J5325T2Zflxr1vhh4Y5M","Завантажити сертифікат")</f>
        <v>Завантажити сертифікат</v>
      </c>
    </row>
    <row r="1419" spans="1:6" x14ac:dyDescent="0.3">
      <c r="A1419" s="2">
        <v>1418</v>
      </c>
      <c r="B1419" s="1" t="s">
        <v>3000</v>
      </c>
      <c r="C1419" s="1" t="s">
        <v>2967</v>
      </c>
      <c r="D1419" s="1" t="s">
        <v>2968</v>
      </c>
      <c r="E1419" s="1" t="s">
        <v>3001</v>
      </c>
      <c r="F1419" s="1" t="str">
        <f>HYPERLINK("https://talan.bank.gov.ua/get-user-certificate/J53252PzLNzRg3vQzECU","Завантажити сертифікат")</f>
        <v>Завантажити сертифікат</v>
      </c>
    </row>
    <row r="1420" spans="1:6" ht="28.8" x14ac:dyDescent="0.3">
      <c r="A1420" s="2">
        <v>1419</v>
      </c>
      <c r="B1420" s="1" t="s">
        <v>3002</v>
      </c>
      <c r="C1420" s="1" t="s">
        <v>3003</v>
      </c>
      <c r="D1420" s="1" t="s">
        <v>3004</v>
      </c>
      <c r="E1420" s="1" t="s">
        <v>3005</v>
      </c>
      <c r="F1420" s="1" t="str">
        <f>HYPERLINK("https://talan.bank.gov.ua/get-user-certificate/J5325za4no9FXVx2OvBQ","Завантажити сертифікат")</f>
        <v>Завантажити сертифікат</v>
      </c>
    </row>
    <row r="1421" spans="1:6" ht="28.8" x14ac:dyDescent="0.3">
      <c r="A1421" s="2">
        <v>1420</v>
      </c>
      <c r="B1421" s="1" t="s">
        <v>3006</v>
      </c>
      <c r="C1421" s="1" t="s">
        <v>3003</v>
      </c>
      <c r="D1421" s="1" t="s">
        <v>3004</v>
      </c>
      <c r="E1421" s="1" t="s">
        <v>3007</v>
      </c>
      <c r="F1421" s="1" t="str">
        <f>HYPERLINK("https://talan.bank.gov.ua/get-user-certificate/J5325h_fRRIVc8dYdqk5","Завантажити сертифікат")</f>
        <v>Завантажити сертифікат</v>
      </c>
    </row>
    <row r="1422" spans="1:6" ht="28.8" x14ac:dyDescent="0.3">
      <c r="A1422" s="2">
        <v>1421</v>
      </c>
      <c r="B1422" s="1" t="s">
        <v>3008</v>
      </c>
      <c r="C1422" s="1" t="s">
        <v>3003</v>
      </c>
      <c r="D1422" s="1" t="s">
        <v>3004</v>
      </c>
      <c r="E1422" s="1" t="s">
        <v>3009</v>
      </c>
      <c r="F1422" s="1" t="str">
        <f>HYPERLINK("https://talan.bank.gov.ua/get-user-certificate/J5325Iy65O4-3QMhn4r7","Завантажити сертифікат")</f>
        <v>Завантажити сертифікат</v>
      </c>
    </row>
    <row r="1423" spans="1:6" ht="28.8" x14ac:dyDescent="0.3">
      <c r="A1423" s="2">
        <v>1422</v>
      </c>
      <c r="B1423" s="1" t="s">
        <v>3010</v>
      </c>
      <c r="C1423" s="1" t="s">
        <v>3003</v>
      </c>
      <c r="D1423" s="1" t="s">
        <v>3004</v>
      </c>
      <c r="E1423" s="1" t="s">
        <v>3011</v>
      </c>
      <c r="F1423" s="1" t="str">
        <f>HYPERLINK("https://talan.bank.gov.ua/get-user-certificate/J5325-klYKRrZHuv4Kz1","Завантажити сертифікат")</f>
        <v>Завантажити сертифікат</v>
      </c>
    </row>
    <row r="1424" spans="1:6" ht="28.8" x14ac:dyDescent="0.3">
      <c r="A1424" s="2">
        <v>1423</v>
      </c>
      <c r="B1424" s="1" t="s">
        <v>3012</v>
      </c>
      <c r="C1424" s="1" t="s">
        <v>3003</v>
      </c>
      <c r="D1424" s="1" t="s">
        <v>3004</v>
      </c>
      <c r="E1424" s="1" t="s">
        <v>3013</v>
      </c>
      <c r="F1424" s="1" t="str">
        <f>HYPERLINK("https://talan.bank.gov.ua/get-user-certificate/J5325E_XkkQ-5IIahqIA","Завантажити сертифікат")</f>
        <v>Завантажити сертифікат</v>
      </c>
    </row>
    <row r="1425" spans="1:6" ht="28.8" x14ac:dyDescent="0.3">
      <c r="A1425" s="2">
        <v>1424</v>
      </c>
      <c r="B1425" s="1" t="s">
        <v>3014</v>
      </c>
      <c r="C1425" s="1" t="s">
        <v>3003</v>
      </c>
      <c r="D1425" s="1" t="s">
        <v>3004</v>
      </c>
      <c r="E1425" s="1" t="s">
        <v>3015</v>
      </c>
      <c r="F1425" s="1" t="str">
        <f>HYPERLINK("https://talan.bank.gov.ua/get-user-certificate/J5325GlzsENO0eYwHcVV","Завантажити сертифікат")</f>
        <v>Завантажити сертифікат</v>
      </c>
    </row>
    <row r="1426" spans="1:6" ht="28.8" x14ac:dyDescent="0.3">
      <c r="A1426" s="2">
        <v>1425</v>
      </c>
      <c r="B1426" s="1" t="s">
        <v>3016</v>
      </c>
      <c r="C1426" s="1" t="s">
        <v>3003</v>
      </c>
      <c r="D1426" s="1" t="s">
        <v>3004</v>
      </c>
      <c r="E1426" s="1" t="s">
        <v>3017</v>
      </c>
      <c r="F1426" s="1" t="str">
        <f>HYPERLINK("https://talan.bank.gov.ua/get-user-certificate/J53255LwidJxjmhAAhha","Завантажити сертифікат")</f>
        <v>Завантажити сертифікат</v>
      </c>
    </row>
    <row r="1427" spans="1:6" ht="28.8" x14ac:dyDescent="0.3">
      <c r="A1427" s="2">
        <v>1426</v>
      </c>
      <c r="B1427" s="1" t="s">
        <v>3018</v>
      </c>
      <c r="C1427" s="1" t="s">
        <v>3003</v>
      </c>
      <c r="D1427" s="1" t="s">
        <v>3004</v>
      </c>
      <c r="E1427" s="1" t="s">
        <v>3019</v>
      </c>
      <c r="F1427" s="1" t="str">
        <f>HYPERLINK("https://talan.bank.gov.ua/get-user-certificate/J5325dpdJeGRN53Lh5Qc","Завантажити сертифікат")</f>
        <v>Завантажити сертифікат</v>
      </c>
    </row>
    <row r="1428" spans="1:6" ht="28.8" x14ac:dyDescent="0.3">
      <c r="A1428" s="2">
        <v>1427</v>
      </c>
      <c r="B1428" s="1" t="s">
        <v>3020</v>
      </c>
      <c r="C1428" s="1" t="s">
        <v>3003</v>
      </c>
      <c r="D1428" s="1" t="s">
        <v>3004</v>
      </c>
      <c r="E1428" s="1" t="s">
        <v>3021</v>
      </c>
      <c r="F1428" s="1" t="str">
        <f>HYPERLINK("https://talan.bank.gov.ua/get-user-certificate/J5325tXYCjtb5_2ZWlIV","Завантажити сертифікат")</f>
        <v>Завантажити сертифікат</v>
      </c>
    </row>
    <row r="1429" spans="1:6" ht="28.8" x14ac:dyDescent="0.3">
      <c r="A1429" s="2">
        <v>1428</v>
      </c>
      <c r="B1429" s="1" t="s">
        <v>3022</v>
      </c>
      <c r="C1429" s="1" t="s">
        <v>3003</v>
      </c>
      <c r="D1429" s="1" t="s">
        <v>3004</v>
      </c>
      <c r="E1429" s="1" t="s">
        <v>3023</v>
      </c>
      <c r="F1429" s="1" t="str">
        <f>HYPERLINK("https://talan.bank.gov.ua/get-user-certificate/J5325At9Jw3-mslPHn8M","Завантажити сертифікат")</f>
        <v>Завантажити сертифікат</v>
      </c>
    </row>
    <row r="1430" spans="1:6" ht="28.8" x14ac:dyDescent="0.3">
      <c r="A1430" s="2">
        <v>1429</v>
      </c>
      <c r="B1430" s="1" t="s">
        <v>3024</v>
      </c>
      <c r="C1430" s="1" t="s">
        <v>3003</v>
      </c>
      <c r="D1430" s="1" t="s">
        <v>3004</v>
      </c>
      <c r="E1430" s="1" t="s">
        <v>3025</v>
      </c>
      <c r="F1430" s="1" t="str">
        <f>HYPERLINK("https://talan.bank.gov.ua/get-user-certificate/J5325B-Plm9YAX0vBKnD","Завантажити сертифікат")</f>
        <v>Завантажити сертифікат</v>
      </c>
    </row>
    <row r="1431" spans="1:6" ht="28.8" x14ac:dyDescent="0.3">
      <c r="A1431" s="2">
        <v>1430</v>
      </c>
      <c r="B1431" s="1" t="s">
        <v>3026</v>
      </c>
      <c r="C1431" s="1" t="s">
        <v>3003</v>
      </c>
      <c r="D1431" s="1" t="s">
        <v>3004</v>
      </c>
      <c r="E1431" s="1" t="s">
        <v>3027</v>
      </c>
      <c r="F1431" s="1" t="str">
        <f>HYPERLINK("https://talan.bank.gov.ua/get-user-certificate/J5325GZKPRxPqWew7vdI","Завантажити сертифікат")</f>
        <v>Завантажити сертифікат</v>
      </c>
    </row>
    <row r="1432" spans="1:6" ht="28.8" x14ac:dyDescent="0.3">
      <c r="A1432" s="2">
        <v>1431</v>
      </c>
      <c r="B1432" s="1" t="s">
        <v>3028</v>
      </c>
      <c r="C1432" s="1" t="s">
        <v>3003</v>
      </c>
      <c r="D1432" s="1" t="s">
        <v>3004</v>
      </c>
      <c r="E1432" s="1" t="s">
        <v>3029</v>
      </c>
      <c r="F1432" s="1" t="str">
        <f>HYPERLINK("https://talan.bank.gov.ua/get-user-certificate/J5325_DJKcVw6EqgH77f","Завантажити сертифікат")</f>
        <v>Завантажити сертифікат</v>
      </c>
    </row>
    <row r="1433" spans="1:6" ht="28.8" x14ac:dyDescent="0.3">
      <c r="A1433" s="2">
        <v>1432</v>
      </c>
      <c r="B1433" s="1" t="s">
        <v>3030</v>
      </c>
      <c r="C1433" s="1" t="s">
        <v>3003</v>
      </c>
      <c r="D1433" s="1" t="s">
        <v>3004</v>
      </c>
      <c r="E1433" s="1" t="s">
        <v>3031</v>
      </c>
      <c r="F1433" s="1" t="str">
        <f>HYPERLINK("https://talan.bank.gov.ua/get-user-certificate/J53251cZqdyKIimEL2V1","Завантажити сертифікат")</f>
        <v>Завантажити сертифікат</v>
      </c>
    </row>
    <row r="1434" spans="1:6" ht="28.8" x14ac:dyDescent="0.3">
      <c r="A1434" s="2">
        <v>1433</v>
      </c>
      <c r="B1434" s="1" t="s">
        <v>3032</v>
      </c>
      <c r="C1434" s="1" t="s">
        <v>3003</v>
      </c>
      <c r="D1434" s="1" t="s">
        <v>3004</v>
      </c>
      <c r="E1434" s="1" t="s">
        <v>3033</v>
      </c>
      <c r="F1434" s="1" t="str">
        <f>HYPERLINK("https://talan.bank.gov.ua/get-user-certificate/J5325X0zwf-RteZQE9LS","Завантажити сертифікат")</f>
        <v>Завантажити сертифікат</v>
      </c>
    </row>
    <row r="1435" spans="1:6" ht="28.8" x14ac:dyDescent="0.3">
      <c r="A1435" s="2">
        <v>1434</v>
      </c>
      <c r="B1435" s="1" t="s">
        <v>3034</v>
      </c>
      <c r="C1435" s="1" t="s">
        <v>3003</v>
      </c>
      <c r="D1435" s="1" t="s">
        <v>3004</v>
      </c>
      <c r="E1435" s="1" t="s">
        <v>3035</v>
      </c>
      <c r="F1435" s="1" t="str">
        <f>HYPERLINK("https://talan.bank.gov.ua/get-user-certificate/J5325HvpE1H7IwSs8sHb","Завантажити сертифікат")</f>
        <v>Завантажити сертифікат</v>
      </c>
    </row>
    <row r="1436" spans="1:6" ht="28.8" x14ac:dyDescent="0.3">
      <c r="A1436" s="2">
        <v>1435</v>
      </c>
      <c r="B1436" s="1" t="s">
        <v>3036</v>
      </c>
      <c r="C1436" s="1" t="s">
        <v>3003</v>
      </c>
      <c r="D1436" s="1" t="s">
        <v>3004</v>
      </c>
      <c r="E1436" s="1" t="s">
        <v>3037</v>
      </c>
      <c r="F1436" s="1" t="str">
        <f>HYPERLINK("https://talan.bank.gov.ua/get-user-certificate/J5325J_DkXDaKGEPTu41","Завантажити сертифікат")</f>
        <v>Завантажити сертифікат</v>
      </c>
    </row>
    <row r="1437" spans="1:6" ht="28.8" x14ac:dyDescent="0.3">
      <c r="A1437" s="2">
        <v>1436</v>
      </c>
      <c r="B1437" s="1" t="s">
        <v>3038</v>
      </c>
      <c r="C1437" s="1" t="s">
        <v>3003</v>
      </c>
      <c r="D1437" s="1" t="s">
        <v>3004</v>
      </c>
      <c r="E1437" s="1" t="s">
        <v>3039</v>
      </c>
      <c r="F1437" s="1" t="str">
        <f>HYPERLINK("https://talan.bank.gov.ua/get-user-certificate/J5325o77Yb1keNQcfMeO","Завантажити сертифікат")</f>
        <v>Завантажити сертифікат</v>
      </c>
    </row>
    <row r="1438" spans="1:6" ht="28.8" x14ac:dyDescent="0.3">
      <c r="A1438" s="2">
        <v>1437</v>
      </c>
      <c r="B1438" s="1" t="s">
        <v>3040</v>
      </c>
      <c r="C1438" s="1" t="s">
        <v>3003</v>
      </c>
      <c r="D1438" s="1" t="s">
        <v>3004</v>
      </c>
      <c r="E1438" s="1" t="s">
        <v>3041</v>
      </c>
      <c r="F1438" s="1" t="str">
        <f>HYPERLINK("https://talan.bank.gov.ua/get-user-certificate/J5325mnaMn8ngoy-GEZ5","Завантажити сертифікат")</f>
        <v>Завантажити сертифікат</v>
      </c>
    </row>
    <row r="1439" spans="1:6" ht="28.8" x14ac:dyDescent="0.3">
      <c r="A1439" s="2">
        <v>1438</v>
      </c>
      <c r="B1439" s="1" t="s">
        <v>3042</v>
      </c>
      <c r="C1439" s="1" t="s">
        <v>3003</v>
      </c>
      <c r="D1439" s="1" t="s">
        <v>3004</v>
      </c>
      <c r="E1439" s="1" t="s">
        <v>3043</v>
      </c>
      <c r="F1439" s="1" t="str">
        <f>HYPERLINK("https://talan.bank.gov.ua/get-user-certificate/J5325PZHswdvp4L4BhGw","Завантажити сертифікат")</f>
        <v>Завантажити сертифікат</v>
      </c>
    </row>
    <row r="1440" spans="1:6" ht="28.8" x14ac:dyDescent="0.3">
      <c r="A1440" s="2">
        <v>1439</v>
      </c>
      <c r="B1440" s="1" t="s">
        <v>3044</v>
      </c>
      <c r="C1440" s="1" t="s">
        <v>3003</v>
      </c>
      <c r="D1440" s="1" t="s">
        <v>3004</v>
      </c>
      <c r="E1440" s="1" t="s">
        <v>3045</v>
      </c>
      <c r="F1440" s="1" t="str">
        <f>HYPERLINK("https://talan.bank.gov.ua/get-user-certificate/J5325cNFVS3ZUowN4MPI","Завантажити сертифікат")</f>
        <v>Завантажити сертифікат</v>
      </c>
    </row>
    <row r="1441" spans="1:6" ht="28.8" x14ac:dyDescent="0.3">
      <c r="A1441" s="2">
        <v>1440</v>
      </c>
      <c r="B1441" s="1" t="s">
        <v>3046</v>
      </c>
      <c r="C1441" s="1" t="s">
        <v>3003</v>
      </c>
      <c r="D1441" s="1" t="s">
        <v>3004</v>
      </c>
      <c r="E1441" s="1" t="s">
        <v>3047</v>
      </c>
      <c r="F1441" s="1" t="str">
        <f>HYPERLINK("https://talan.bank.gov.ua/get-user-certificate/J5325FVZ5fSb_4_RG6DP","Завантажити сертифікат")</f>
        <v>Завантажити сертифікат</v>
      </c>
    </row>
    <row r="1442" spans="1:6" ht="28.8" x14ac:dyDescent="0.3">
      <c r="A1442" s="2">
        <v>1441</v>
      </c>
      <c r="B1442" s="1" t="s">
        <v>3048</v>
      </c>
      <c r="C1442" s="1" t="s">
        <v>3049</v>
      </c>
      <c r="D1442" s="1" t="s">
        <v>3050</v>
      </c>
      <c r="E1442" s="1" t="s">
        <v>3051</v>
      </c>
      <c r="F1442" s="1" t="str">
        <f>HYPERLINK("https://talan.bank.gov.ua/get-user-certificate/J53253k_hBp5hpOBVdal","Завантажити сертифікат")</f>
        <v>Завантажити сертифікат</v>
      </c>
    </row>
    <row r="1443" spans="1:6" ht="28.8" x14ac:dyDescent="0.3">
      <c r="A1443" s="2">
        <v>1442</v>
      </c>
      <c r="B1443" s="1" t="s">
        <v>3052</v>
      </c>
      <c r="C1443" s="1" t="s">
        <v>3049</v>
      </c>
      <c r="D1443" s="1" t="s">
        <v>3050</v>
      </c>
      <c r="E1443" s="1" t="s">
        <v>3053</v>
      </c>
      <c r="F1443" s="1" t="str">
        <f>HYPERLINK("https://talan.bank.gov.ua/get-user-certificate/J5325lMgN1n7OoezFsTL","Завантажити сертифікат")</f>
        <v>Завантажити сертифікат</v>
      </c>
    </row>
    <row r="1444" spans="1:6" ht="28.8" x14ac:dyDescent="0.3">
      <c r="A1444" s="2">
        <v>1443</v>
      </c>
      <c r="B1444" s="1" t="s">
        <v>3054</v>
      </c>
      <c r="C1444" s="1" t="s">
        <v>3049</v>
      </c>
      <c r="D1444" s="1" t="s">
        <v>3050</v>
      </c>
      <c r="E1444" s="1" t="s">
        <v>3055</v>
      </c>
      <c r="F1444" s="1" t="str">
        <f>HYPERLINK("https://talan.bank.gov.ua/get-user-certificate/J5325BLNKb40MLvMRHn1","Завантажити сертифікат")</f>
        <v>Завантажити сертифікат</v>
      </c>
    </row>
    <row r="1445" spans="1:6" ht="28.8" x14ac:dyDescent="0.3">
      <c r="A1445" s="2">
        <v>1444</v>
      </c>
      <c r="B1445" s="1" t="s">
        <v>3056</v>
      </c>
      <c r="C1445" s="1" t="s">
        <v>3049</v>
      </c>
      <c r="D1445" s="1" t="s">
        <v>3050</v>
      </c>
      <c r="E1445" s="1" t="s">
        <v>3057</v>
      </c>
      <c r="F1445" s="1" t="str">
        <f>HYPERLINK("https://talan.bank.gov.ua/get-user-certificate/J5325dIULQNfBGgCrmXr","Завантажити сертифікат")</f>
        <v>Завантажити сертифікат</v>
      </c>
    </row>
    <row r="1446" spans="1:6" ht="28.8" x14ac:dyDescent="0.3">
      <c r="A1446" s="2">
        <v>1445</v>
      </c>
      <c r="B1446" s="1" t="s">
        <v>3058</v>
      </c>
      <c r="C1446" s="1" t="s">
        <v>3049</v>
      </c>
      <c r="D1446" s="1" t="s">
        <v>3050</v>
      </c>
      <c r="E1446" s="1" t="s">
        <v>3059</v>
      </c>
      <c r="F1446" s="1" t="str">
        <f>HYPERLINK("https://talan.bank.gov.ua/get-user-certificate/J5325Pyyzwxv2NrTm5BP","Завантажити сертифікат")</f>
        <v>Завантажити сертифікат</v>
      </c>
    </row>
    <row r="1447" spans="1:6" ht="28.8" x14ac:dyDescent="0.3">
      <c r="A1447" s="2">
        <v>1446</v>
      </c>
      <c r="B1447" s="1" t="s">
        <v>3060</v>
      </c>
      <c r="C1447" s="1" t="s">
        <v>3049</v>
      </c>
      <c r="D1447" s="1" t="s">
        <v>3050</v>
      </c>
      <c r="E1447" s="1" t="s">
        <v>3061</v>
      </c>
      <c r="F1447" s="1" t="str">
        <f>HYPERLINK("https://talan.bank.gov.ua/get-user-certificate/J5325PEaqHR6bsMV0149","Завантажити сертифікат")</f>
        <v>Завантажити сертифікат</v>
      </c>
    </row>
    <row r="1448" spans="1:6" ht="28.8" x14ac:dyDescent="0.3">
      <c r="A1448" s="2">
        <v>1447</v>
      </c>
      <c r="B1448" s="1" t="s">
        <v>3062</v>
      </c>
      <c r="C1448" s="1" t="s">
        <v>3049</v>
      </c>
      <c r="D1448" s="1" t="s">
        <v>3050</v>
      </c>
      <c r="E1448" s="1" t="s">
        <v>3063</v>
      </c>
      <c r="F1448" s="1" t="str">
        <f>HYPERLINK("https://talan.bank.gov.ua/get-user-certificate/J5325RaGeCAwpu-ED7wq","Завантажити сертифікат")</f>
        <v>Завантажити сертифікат</v>
      </c>
    </row>
    <row r="1449" spans="1:6" ht="28.8" x14ac:dyDescent="0.3">
      <c r="A1449" s="2">
        <v>1448</v>
      </c>
      <c r="B1449" s="1" t="s">
        <v>3064</v>
      </c>
      <c r="C1449" s="1" t="s">
        <v>3049</v>
      </c>
      <c r="D1449" s="1" t="s">
        <v>3050</v>
      </c>
      <c r="E1449" s="1" t="s">
        <v>3065</v>
      </c>
      <c r="F1449" s="1" t="str">
        <f>HYPERLINK("https://talan.bank.gov.ua/get-user-certificate/J5325qI0TBDGdufCwVLk","Завантажити сертифікат")</f>
        <v>Завантажити сертифікат</v>
      </c>
    </row>
    <row r="1450" spans="1:6" ht="28.8" x14ac:dyDescent="0.3">
      <c r="A1450" s="2">
        <v>1449</v>
      </c>
      <c r="B1450" s="1" t="s">
        <v>3066</v>
      </c>
      <c r="C1450" s="1" t="s">
        <v>3049</v>
      </c>
      <c r="D1450" s="1" t="s">
        <v>3050</v>
      </c>
      <c r="E1450" s="1" t="s">
        <v>3067</v>
      </c>
      <c r="F1450" s="1" t="str">
        <f>HYPERLINK("https://talan.bank.gov.ua/get-user-certificate/J5325HPXhLNMsVX7Y7aJ","Завантажити сертифікат")</f>
        <v>Завантажити сертифікат</v>
      </c>
    </row>
    <row r="1451" spans="1:6" ht="28.8" x14ac:dyDescent="0.3">
      <c r="A1451" s="2">
        <v>1450</v>
      </c>
      <c r="B1451" s="1" t="s">
        <v>3068</v>
      </c>
      <c r="C1451" s="1" t="s">
        <v>3049</v>
      </c>
      <c r="D1451" s="1" t="s">
        <v>3050</v>
      </c>
      <c r="E1451" s="1" t="s">
        <v>3069</v>
      </c>
      <c r="F1451" s="1" t="str">
        <f>HYPERLINK("https://talan.bank.gov.ua/get-user-certificate/J53258EkOCS0PyHdpbeA","Завантажити сертифікат")</f>
        <v>Завантажити сертифікат</v>
      </c>
    </row>
    <row r="1452" spans="1:6" ht="28.8" x14ac:dyDescent="0.3">
      <c r="A1452" s="2">
        <v>1451</v>
      </c>
      <c r="B1452" s="1" t="s">
        <v>3070</v>
      </c>
      <c r="C1452" s="1" t="s">
        <v>3049</v>
      </c>
      <c r="D1452" s="1" t="s">
        <v>3050</v>
      </c>
      <c r="E1452" s="1" t="s">
        <v>3071</v>
      </c>
      <c r="F1452" s="1" t="str">
        <f>HYPERLINK("https://talan.bank.gov.ua/get-user-certificate/J5325yQnZUrD77qJu5mL","Завантажити сертифікат")</f>
        <v>Завантажити сертифікат</v>
      </c>
    </row>
    <row r="1453" spans="1:6" ht="28.8" x14ac:dyDescent="0.3">
      <c r="A1453" s="2">
        <v>1452</v>
      </c>
      <c r="B1453" s="1" t="s">
        <v>3072</v>
      </c>
      <c r="C1453" s="1" t="s">
        <v>3049</v>
      </c>
      <c r="D1453" s="1" t="s">
        <v>3050</v>
      </c>
      <c r="E1453" s="1" t="s">
        <v>3073</v>
      </c>
      <c r="F1453" s="1" t="str">
        <f>HYPERLINK("https://talan.bank.gov.ua/get-user-certificate/J5325B7YpZkjweFsdu5R","Завантажити сертифікат")</f>
        <v>Завантажити сертифікат</v>
      </c>
    </row>
    <row r="1454" spans="1:6" x14ac:dyDescent="0.3">
      <c r="A1454" s="2">
        <v>1453</v>
      </c>
      <c r="B1454" s="1" t="s">
        <v>3074</v>
      </c>
      <c r="C1454" s="1" t="s">
        <v>3075</v>
      </c>
      <c r="D1454" s="1" t="s">
        <v>3076</v>
      </c>
      <c r="E1454" s="1" t="s">
        <v>3077</v>
      </c>
      <c r="F1454" s="1" t="str">
        <f>HYPERLINK("https://talan.bank.gov.ua/get-user-certificate/J5325XFeXON0llZsDrzC","Завантажити сертифікат")</f>
        <v>Завантажити сертифікат</v>
      </c>
    </row>
    <row r="1455" spans="1:6" x14ac:dyDescent="0.3">
      <c r="A1455" s="2">
        <v>1454</v>
      </c>
      <c r="B1455" s="1" t="s">
        <v>3078</v>
      </c>
      <c r="C1455" s="1" t="s">
        <v>3075</v>
      </c>
      <c r="D1455" s="1" t="s">
        <v>3076</v>
      </c>
      <c r="E1455" s="1" t="s">
        <v>3079</v>
      </c>
      <c r="F1455" s="1" t="str">
        <f>HYPERLINK("https://talan.bank.gov.ua/get-user-certificate/J5325fWtoZ9sR2gUWAUg","Завантажити сертифікат")</f>
        <v>Завантажити сертифікат</v>
      </c>
    </row>
    <row r="1456" spans="1:6" x14ac:dyDescent="0.3">
      <c r="A1456" s="2">
        <v>1455</v>
      </c>
      <c r="B1456" s="1" t="s">
        <v>3080</v>
      </c>
      <c r="C1456" s="1" t="s">
        <v>3075</v>
      </c>
      <c r="D1456" s="1" t="s">
        <v>3076</v>
      </c>
      <c r="E1456" s="1" t="s">
        <v>3081</v>
      </c>
      <c r="F1456" s="1" t="str">
        <f>HYPERLINK("https://talan.bank.gov.ua/get-user-certificate/J53257SbL3e3iORMJWDs","Завантажити сертифікат")</f>
        <v>Завантажити сертифікат</v>
      </c>
    </row>
    <row r="1457" spans="1:6" x14ac:dyDescent="0.3">
      <c r="A1457" s="2">
        <v>1456</v>
      </c>
      <c r="B1457" s="1" t="s">
        <v>3082</v>
      </c>
      <c r="C1457" s="1" t="s">
        <v>3075</v>
      </c>
      <c r="D1457" s="1" t="s">
        <v>3076</v>
      </c>
      <c r="E1457" s="1" t="s">
        <v>3083</v>
      </c>
      <c r="F1457" s="1" t="str">
        <f>HYPERLINK("https://talan.bank.gov.ua/get-user-certificate/J5325NyO28P8ZVa7Xm9O","Завантажити сертифікат")</f>
        <v>Завантажити сертифікат</v>
      </c>
    </row>
    <row r="1458" spans="1:6" x14ac:dyDescent="0.3">
      <c r="A1458" s="2">
        <v>1457</v>
      </c>
      <c r="B1458" s="1" t="s">
        <v>3084</v>
      </c>
      <c r="C1458" s="1" t="s">
        <v>3075</v>
      </c>
      <c r="D1458" s="1" t="s">
        <v>3076</v>
      </c>
      <c r="E1458" s="1" t="s">
        <v>3085</v>
      </c>
      <c r="F1458" s="1" t="str">
        <f>HYPERLINK("https://talan.bank.gov.ua/get-user-certificate/J5325uPC6EiblhvvSEIW","Завантажити сертифікат")</f>
        <v>Завантажити сертифікат</v>
      </c>
    </row>
    <row r="1459" spans="1:6" x14ac:dyDescent="0.3">
      <c r="A1459" s="2">
        <v>1458</v>
      </c>
      <c r="B1459" s="1" t="s">
        <v>3086</v>
      </c>
      <c r="C1459" s="1" t="s">
        <v>3075</v>
      </c>
      <c r="D1459" s="1" t="s">
        <v>3076</v>
      </c>
      <c r="E1459" s="1" t="s">
        <v>3087</v>
      </c>
      <c r="F1459" s="1" t="str">
        <f>HYPERLINK("https://talan.bank.gov.ua/get-user-certificate/J5325zzdEelGbT1H18b6","Завантажити сертифікат")</f>
        <v>Завантажити сертифікат</v>
      </c>
    </row>
    <row r="1460" spans="1:6" x14ac:dyDescent="0.3">
      <c r="A1460" s="2">
        <v>1459</v>
      </c>
      <c r="B1460" s="1" t="s">
        <v>3088</v>
      </c>
      <c r="C1460" s="1" t="s">
        <v>3075</v>
      </c>
      <c r="D1460" s="1" t="s">
        <v>3076</v>
      </c>
      <c r="E1460" s="1" t="s">
        <v>3089</v>
      </c>
      <c r="F1460" s="1" t="str">
        <f>HYPERLINK("https://talan.bank.gov.ua/get-user-certificate/J5325JMAtDsrXXp90qAs","Завантажити сертифікат")</f>
        <v>Завантажити сертифікат</v>
      </c>
    </row>
    <row r="1461" spans="1:6" x14ac:dyDescent="0.3">
      <c r="A1461" s="2">
        <v>1460</v>
      </c>
      <c r="B1461" s="1" t="s">
        <v>3090</v>
      </c>
      <c r="C1461" s="1" t="s">
        <v>3075</v>
      </c>
      <c r="D1461" s="1" t="s">
        <v>3076</v>
      </c>
      <c r="E1461" s="1" t="s">
        <v>3091</v>
      </c>
      <c r="F1461" s="1" t="str">
        <f>HYPERLINK("https://talan.bank.gov.ua/get-user-certificate/J53259xwZi9wT9b1f7N1","Завантажити сертифікат")</f>
        <v>Завантажити сертифікат</v>
      </c>
    </row>
    <row r="1462" spans="1:6" x14ac:dyDescent="0.3">
      <c r="A1462" s="2">
        <v>1461</v>
      </c>
      <c r="B1462" s="1" t="s">
        <v>3092</v>
      </c>
      <c r="C1462" s="1" t="s">
        <v>3075</v>
      </c>
      <c r="D1462" s="1" t="s">
        <v>3076</v>
      </c>
      <c r="E1462" s="1" t="s">
        <v>3093</v>
      </c>
      <c r="F1462" s="1" t="str">
        <f>HYPERLINK("https://talan.bank.gov.ua/get-user-certificate/J5325b_IVRpN5A9lCWvb","Завантажити сертифікат")</f>
        <v>Завантажити сертифікат</v>
      </c>
    </row>
    <row r="1463" spans="1:6" x14ac:dyDescent="0.3">
      <c r="A1463" s="2">
        <v>1462</v>
      </c>
      <c r="B1463" s="1" t="s">
        <v>3094</v>
      </c>
      <c r="C1463" s="1" t="s">
        <v>3075</v>
      </c>
      <c r="D1463" s="1" t="s">
        <v>3076</v>
      </c>
      <c r="E1463" s="1" t="s">
        <v>3095</v>
      </c>
      <c r="F1463" s="1" t="str">
        <f>HYPERLINK("https://talan.bank.gov.ua/get-user-certificate/J5325F6foSpVb5KHxjpU","Завантажити сертифікат")</f>
        <v>Завантажити сертифікат</v>
      </c>
    </row>
    <row r="1464" spans="1:6" x14ac:dyDescent="0.3">
      <c r="A1464" s="2">
        <v>1463</v>
      </c>
      <c r="B1464" s="1" t="s">
        <v>3096</v>
      </c>
      <c r="C1464" s="1" t="s">
        <v>3075</v>
      </c>
      <c r="D1464" s="1" t="s">
        <v>3076</v>
      </c>
      <c r="E1464" s="1" t="s">
        <v>3097</v>
      </c>
      <c r="F1464" s="1" t="str">
        <f>HYPERLINK("https://talan.bank.gov.ua/get-user-certificate/J5325Wi3Gu413Xcf8qWH","Завантажити сертифікат")</f>
        <v>Завантажити сертифікат</v>
      </c>
    </row>
    <row r="1465" spans="1:6" x14ac:dyDescent="0.3">
      <c r="A1465" s="2">
        <v>1464</v>
      </c>
      <c r="B1465" s="1" t="s">
        <v>3098</v>
      </c>
      <c r="C1465" s="1" t="s">
        <v>3075</v>
      </c>
      <c r="D1465" s="1" t="s">
        <v>3076</v>
      </c>
      <c r="E1465" s="1" t="s">
        <v>3099</v>
      </c>
      <c r="F1465" s="1" t="str">
        <f>HYPERLINK("https://talan.bank.gov.ua/get-user-certificate/J5325KYuVOhItkimcGWk","Завантажити сертифікат")</f>
        <v>Завантажити сертифікат</v>
      </c>
    </row>
    <row r="1466" spans="1:6" x14ac:dyDescent="0.3">
      <c r="A1466" s="2">
        <v>1465</v>
      </c>
      <c r="B1466" s="1" t="s">
        <v>3100</v>
      </c>
      <c r="C1466" s="1" t="s">
        <v>3075</v>
      </c>
      <c r="D1466" s="1" t="s">
        <v>3076</v>
      </c>
      <c r="E1466" s="1" t="s">
        <v>3101</v>
      </c>
      <c r="F1466" s="1" t="str">
        <f>HYPERLINK("https://talan.bank.gov.ua/get-user-certificate/J5325KgA4eCTJjs5S_ao","Завантажити сертифікат")</f>
        <v>Завантажити сертифікат</v>
      </c>
    </row>
    <row r="1467" spans="1:6" x14ac:dyDescent="0.3">
      <c r="A1467" s="2">
        <v>1466</v>
      </c>
      <c r="B1467" s="1" t="s">
        <v>3102</v>
      </c>
      <c r="C1467" s="1" t="s">
        <v>3075</v>
      </c>
      <c r="D1467" s="1" t="s">
        <v>3076</v>
      </c>
      <c r="E1467" s="1" t="s">
        <v>3103</v>
      </c>
      <c r="F1467" s="1" t="str">
        <f>HYPERLINK("https://talan.bank.gov.ua/get-user-certificate/J5325Pq7w3O-u-649jj4","Завантажити сертифікат")</f>
        <v>Завантажити сертифікат</v>
      </c>
    </row>
    <row r="1468" spans="1:6" x14ac:dyDescent="0.3">
      <c r="A1468" s="2">
        <v>1467</v>
      </c>
      <c r="B1468" s="1" t="s">
        <v>3104</v>
      </c>
      <c r="C1468" s="1" t="s">
        <v>3075</v>
      </c>
      <c r="D1468" s="1" t="s">
        <v>3076</v>
      </c>
      <c r="E1468" s="1" t="s">
        <v>3105</v>
      </c>
      <c r="F1468" s="1" t="str">
        <f>HYPERLINK("https://talan.bank.gov.ua/get-user-certificate/J532549Z1m6joCvWSN73","Завантажити сертифікат")</f>
        <v>Завантажити сертифікат</v>
      </c>
    </row>
    <row r="1469" spans="1:6" x14ac:dyDescent="0.3">
      <c r="A1469" s="2">
        <v>1468</v>
      </c>
      <c r="B1469" s="1" t="s">
        <v>3106</v>
      </c>
      <c r="C1469" s="1" t="s">
        <v>3075</v>
      </c>
      <c r="D1469" s="1" t="s">
        <v>3076</v>
      </c>
      <c r="E1469" s="1" t="s">
        <v>3107</v>
      </c>
      <c r="F1469" s="1" t="str">
        <f>HYPERLINK("https://talan.bank.gov.ua/get-user-certificate/J5325O0vo6P3ISM_WBWZ","Завантажити сертифікат")</f>
        <v>Завантажити сертифікат</v>
      </c>
    </row>
    <row r="1470" spans="1:6" x14ac:dyDescent="0.3">
      <c r="A1470" s="2">
        <v>1469</v>
      </c>
      <c r="B1470" s="1" t="s">
        <v>3108</v>
      </c>
      <c r="C1470" s="1" t="s">
        <v>3075</v>
      </c>
      <c r="D1470" s="1" t="s">
        <v>3076</v>
      </c>
      <c r="E1470" s="1" t="s">
        <v>3109</v>
      </c>
      <c r="F1470" s="1" t="str">
        <f>HYPERLINK("https://talan.bank.gov.ua/get-user-certificate/J5325S8N-inyi6dmbiMT","Завантажити сертифікат")</f>
        <v>Завантажити сертифікат</v>
      </c>
    </row>
    <row r="1471" spans="1:6" x14ac:dyDescent="0.3">
      <c r="A1471" s="2">
        <v>1470</v>
      </c>
      <c r="B1471" s="1" t="s">
        <v>3110</v>
      </c>
      <c r="C1471" s="1" t="s">
        <v>3075</v>
      </c>
      <c r="D1471" s="1" t="s">
        <v>3076</v>
      </c>
      <c r="E1471" s="1" t="s">
        <v>3111</v>
      </c>
      <c r="F1471" s="1" t="str">
        <f>HYPERLINK("https://talan.bank.gov.ua/get-user-certificate/J5325A6rcM6vrDnkgWjE","Завантажити сертифікат")</f>
        <v>Завантажити сертифікат</v>
      </c>
    </row>
    <row r="1472" spans="1:6" x14ac:dyDescent="0.3">
      <c r="A1472" s="2">
        <v>1471</v>
      </c>
      <c r="B1472" s="1" t="s">
        <v>3112</v>
      </c>
      <c r="C1472" s="1" t="s">
        <v>3075</v>
      </c>
      <c r="D1472" s="1" t="s">
        <v>3076</v>
      </c>
      <c r="E1472" s="1" t="s">
        <v>3113</v>
      </c>
      <c r="F1472" s="1" t="str">
        <f>HYPERLINK("https://talan.bank.gov.ua/get-user-certificate/J53252PknzARknNpiisB","Завантажити сертифікат")</f>
        <v>Завантажити сертифікат</v>
      </c>
    </row>
    <row r="1473" spans="1:6" x14ac:dyDescent="0.3">
      <c r="A1473" s="2">
        <v>1472</v>
      </c>
      <c r="B1473" s="1" t="s">
        <v>3114</v>
      </c>
      <c r="C1473" s="1" t="s">
        <v>3075</v>
      </c>
      <c r="D1473" s="1" t="s">
        <v>3076</v>
      </c>
      <c r="E1473" s="1" t="s">
        <v>3115</v>
      </c>
      <c r="F1473" s="1" t="str">
        <f>HYPERLINK("https://talan.bank.gov.ua/get-user-certificate/J5325vDafJ-B7o7UdeYY","Завантажити сертифікат")</f>
        <v>Завантажити сертифікат</v>
      </c>
    </row>
    <row r="1474" spans="1:6" x14ac:dyDescent="0.3">
      <c r="A1474" s="2">
        <v>1473</v>
      </c>
      <c r="B1474" s="1" t="s">
        <v>3116</v>
      </c>
      <c r="C1474" s="1" t="s">
        <v>3075</v>
      </c>
      <c r="D1474" s="1" t="s">
        <v>3076</v>
      </c>
      <c r="E1474" s="1" t="s">
        <v>3117</v>
      </c>
      <c r="F1474" s="1" t="str">
        <f>HYPERLINK("https://talan.bank.gov.ua/get-user-certificate/J53254kLnhvvnlVwml3Y","Завантажити сертифікат")</f>
        <v>Завантажити сертифікат</v>
      </c>
    </row>
    <row r="1475" spans="1:6" x14ac:dyDescent="0.3">
      <c r="A1475" s="2">
        <v>1474</v>
      </c>
      <c r="B1475" s="1" t="s">
        <v>3118</v>
      </c>
      <c r="C1475" s="1" t="s">
        <v>3075</v>
      </c>
      <c r="D1475" s="1" t="s">
        <v>3076</v>
      </c>
      <c r="E1475" s="1" t="s">
        <v>3119</v>
      </c>
      <c r="F1475" s="1" t="str">
        <f>HYPERLINK("https://talan.bank.gov.ua/get-user-certificate/J5325dBoilIYioxA43Yh","Завантажити сертифікат")</f>
        <v>Завантажити сертифікат</v>
      </c>
    </row>
    <row r="1476" spans="1:6" x14ac:dyDescent="0.3">
      <c r="A1476" s="2">
        <v>1475</v>
      </c>
      <c r="B1476" s="1" t="s">
        <v>3120</v>
      </c>
      <c r="C1476" s="1" t="s">
        <v>3075</v>
      </c>
      <c r="D1476" s="1" t="s">
        <v>3076</v>
      </c>
      <c r="E1476" s="1" t="s">
        <v>3121</v>
      </c>
      <c r="F1476" s="1" t="str">
        <f>HYPERLINK("https://talan.bank.gov.ua/get-user-certificate/J5325vx8RCC-IScOonfC","Завантажити сертифікат")</f>
        <v>Завантажити сертифікат</v>
      </c>
    </row>
    <row r="1477" spans="1:6" x14ac:dyDescent="0.3">
      <c r="A1477" s="2">
        <v>1476</v>
      </c>
      <c r="B1477" s="1" t="s">
        <v>3122</v>
      </c>
      <c r="C1477" s="1" t="s">
        <v>3075</v>
      </c>
      <c r="D1477" s="1" t="s">
        <v>3076</v>
      </c>
      <c r="E1477" s="1" t="s">
        <v>3123</v>
      </c>
      <c r="F1477" s="1" t="str">
        <f>HYPERLINK("https://talan.bank.gov.ua/get-user-certificate/J5325HAkMf9foMDGDTgT","Завантажити сертифікат")</f>
        <v>Завантажити сертифікат</v>
      </c>
    </row>
    <row r="1478" spans="1:6" x14ac:dyDescent="0.3">
      <c r="A1478" s="2">
        <v>1477</v>
      </c>
      <c r="B1478" s="1" t="s">
        <v>3124</v>
      </c>
      <c r="C1478" s="1" t="s">
        <v>3075</v>
      </c>
      <c r="D1478" s="1" t="s">
        <v>3076</v>
      </c>
      <c r="E1478" s="1" t="s">
        <v>3125</v>
      </c>
      <c r="F1478" s="1" t="str">
        <f>HYPERLINK("https://talan.bank.gov.ua/get-user-certificate/J5325arrB6rLYyWH3WK3","Завантажити сертифікат")</f>
        <v>Завантажити сертифікат</v>
      </c>
    </row>
    <row r="1479" spans="1:6" x14ac:dyDescent="0.3">
      <c r="A1479" s="2">
        <v>1478</v>
      </c>
      <c r="B1479" s="1" t="s">
        <v>3126</v>
      </c>
      <c r="C1479" s="1" t="s">
        <v>3075</v>
      </c>
      <c r="D1479" s="1" t="s">
        <v>3076</v>
      </c>
      <c r="E1479" s="1" t="s">
        <v>3127</v>
      </c>
      <c r="F1479" s="1" t="str">
        <f>HYPERLINK("https://talan.bank.gov.ua/get-user-certificate/J5325WfBOvyjnAniRad4","Завантажити сертифікат")</f>
        <v>Завантажити сертифікат</v>
      </c>
    </row>
    <row r="1480" spans="1:6" x14ac:dyDescent="0.3">
      <c r="A1480" s="2">
        <v>1479</v>
      </c>
      <c r="B1480" s="1" t="s">
        <v>3128</v>
      </c>
      <c r="C1480" s="1" t="s">
        <v>3075</v>
      </c>
      <c r="D1480" s="1" t="s">
        <v>3076</v>
      </c>
      <c r="E1480" s="1" t="s">
        <v>3129</v>
      </c>
      <c r="F1480" s="1" t="str">
        <f>HYPERLINK("https://talan.bank.gov.ua/get-user-certificate/J5325Fu4TkTnycHaSF3c","Завантажити сертифікат")</f>
        <v>Завантажити сертифікат</v>
      </c>
    </row>
    <row r="1481" spans="1:6" x14ac:dyDescent="0.3">
      <c r="A1481" s="2">
        <v>1480</v>
      </c>
      <c r="B1481" s="1" t="s">
        <v>3130</v>
      </c>
      <c r="C1481" s="1" t="s">
        <v>3075</v>
      </c>
      <c r="D1481" s="1" t="s">
        <v>3076</v>
      </c>
      <c r="E1481" s="1" t="s">
        <v>3131</v>
      </c>
      <c r="F1481" s="1" t="str">
        <f>HYPERLINK("https://talan.bank.gov.ua/get-user-certificate/J5325JKM19ksBYYrxce_","Завантажити сертифікат")</f>
        <v>Завантажити сертифікат</v>
      </c>
    </row>
    <row r="1482" spans="1:6" x14ac:dyDescent="0.3">
      <c r="A1482" s="2">
        <v>1481</v>
      </c>
      <c r="B1482" s="1" t="s">
        <v>3132</v>
      </c>
      <c r="C1482" s="1" t="s">
        <v>3075</v>
      </c>
      <c r="D1482" s="1" t="s">
        <v>3076</v>
      </c>
      <c r="E1482" s="1" t="s">
        <v>3133</v>
      </c>
      <c r="F1482" s="1" t="str">
        <f>HYPERLINK("https://talan.bank.gov.ua/get-user-certificate/J5325EIWcoPK84az76KG","Завантажити сертифікат")</f>
        <v>Завантажити сертифікат</v>
      </c>
    </row>
    <row r="1483" spans="1:6" x14ac:dyDescent="0.3">
      <c r="A1483" s="2">
        <v>1482</v>
      </c>
      <c r="B1483" s="1" t="s">
        <v>3134</v>
      </c>
      <c r="C1483" s="1" t="s">
        <v>3075</v>
      </c>
      <c r="D1483" s="1" t="s">
        <v>3076</v>
      </c>
      <c r="E1483" s="1" t="s">
        <v>3135</v>
      </c>
      <c r="F1483" s="1" t="str">
        <f>HYPERLINK("https://talan.bank.gov.ua/get-user-certificate/J53253ogQjNR4Bky8RQr","Завантажити сертифікат")</f>
        <v>Завантажити сертифікат</v>
      </c>
    </row>
    <row r="1484" spans="1:6" x14ac:dyDescent="0.3">
      <c r="A1484" s="2">
        <v>1483</v>
      </c>
      <c r="B1484" s="1" t="s">
        <v>3136</v>
      </c>
      <c r="C1484" s="1" t="s">
        <v>3075</v>
      </c>
      <c r="D1484" s="1" t="s">
        <v>3076</v>
      </c>
      <c r="E1484" s="1" t="s">
        <v>3137</v>
      </c>
      <c r="F1484" s="1" t="str">
        <f>HYPERLINK("https://talan.bank.gov.ua/get-user-certificate/J5325mSfnwNw-jorfgGs","Завантажити сертифікат")</f>
        <v>Завантажити сертифікат</v>
      </c>
    </row>
    <row r="1485" spans="1:6" x14ac:dyDescent="0.3">
      <c r="A1485" s="2">
        <v>1484</v>
      </c>
      <c r="B1485" s="1" t="s">
        <v>3138</v>
      </c>
      <c r="C1485" s="1" t="s">
        <v>3075</v>
      </c>
      <c r="D1485" s="1" t="s">
        <v>3076</v>
      </c>
      <c r="E1485" s="1" t="s">
        <v>3139</v>
      </c>
      <c r="F1485" s="1" t="str">
        <f>HYPERLINK("https://talan.bank.gov.ua/get-user-certificate/J5325_mA4WNKMaT4t7p3","Завантажити сертифікат")</f>
        <v>Завантажити сертифікат</v>
      </c>
    </row>
    <row r="1486" spans="1:6" x14ac:dyDescent="0.3">
      <c r="A1486" s="2">
        <v>1485</v>
      </c>
      <c r="B1486" s="1" t="s">
        <v>3140</v>
      </c>
      <c r="C1486" s="1" t="s">
        <v>3075</v>
      </c>
      <c r="D1486" s="1" t="s">
        <v>3076</v>
      </c>
      <c r="E1486" s="1" t="s">
        <v>3141</v>
      </c>
      <c r="F1486" s="1" t="str">
        <f>HYPERLINK("https://talan.bank.gov.ua/get-user-certificate/J5325EJPYYeDgs-6TVE_","Завантажити сертифікат")</f>
        <v>Завантажити сертифікат</v>
      </c>
    </row>
    <row r="1487" spans="1:6" x14ac:dyDescent="0.3">
      <c r="A1487" s="2">
        <v>1486</v>
      </c>
      <c r="B1487" s="1" t="s">
        <v>3142</v>
      </c>
      <c r="C1487" s="1" t="s">
        <v>3075</v>
      </c>
      <c r="D1487" s="1" t="s">
        <v>3076</v>
      </c>
      <c r="E1487" s="1" t="s">
        <v>3143</v>
      </c>
      <c r="F1487" s="1" t="str">
        <f>HYPERLINK("https://talan.bank.gov.ua/get-user-certificate/J53250-YLcpoRMpsRTaC","Завантажити сертифікат")</f>
        <v>Завантажити сертифікат</v>
      </c>
    </row>
    <row r="1488" spans="1:6" x14ac:dyDescent="0.3">
      <c r="A1488" s="2">
        <v>1487</v>
      </c>
      <c r="B1488" s="1" t="s">
        <v>3144</v>
      </c>
      <c r="C1488" s="1" t="s">
        <v>3145</v>
      </c>
      <c r="D1488" s="1" t="s">
        <v>3146</v>
      </c>
      <c r="E1488" s="1" t="s">
        <v>3147</v>
      </c>
      <c r="F1488" s="1" t="str">
        <f>HYPERLINK("https://talan.bank.gov.ua/get-user-certificate/J5325h99pJ2cT_cf-Qxk","Завантажити сертифікат")</f>
        <v>Завантажити сертифікат</v>
      </c>
    </row>
    <row r="1489" spans="1:6" x14ac:dyDescent="0.3">
      <c r="A1489" s="2">
        <v>1488</v>
      </c>
      <c r="B1489" s="1" t="s">
        <v>3148</v>
      </c>
      <c r="C1489" s="1" t="s">
        <v>3145</v>
      </c>
      <c r="D1489" s="1" t="s">
        <v>3146</v>
      </c>
      <c r="E1489" s="1" t="s">
        <v>3149</v>
      </c>
      <c r="F1489" s="1" t="str">
        <f>HYPERLINK("https://talan.bank.gov.ua/get-user-certificate/J5325oXwecIVgF4N8jii","Завантажити сертифікат")</f>
        <v>Завантажити сертифікат</v>
      </c>
    </row>
    <row r="1490" spans="1:6" x14ac:dyDescent="0.3">
      <c r="A1490" s="2">
        <v>1489</v>
      </c>
      <c r="B1490" s="1" t="s">
        <v>3150</v>
      </c>
      <c r="C1490" s="1" t="s">
        <v>3145</v>
      </c>
      <c r="D1490" s="1" t="s">
        <v>3146</v>
      </c>
      <c r="E1490" s="1" t="s">
        <v>3151</v>
      </c>
      <c r="F1490" s="1" t="str">
        <f>HYPERLINK("https://talan.bank.gov.ua/get-user-certificate/J532520HH0pIcDJ-Xbgd","Завантажити сертифікат")</f>
        <v>Завантажити сертифікат</v>
      </c>
    </row>
    <row r="1491" spans="1:6" x14ac:dyDescent="0.3">
      <c r="A1491" s="2">
        <v>1490</v>
      </c>
      <c r="B1491" s="1" t="s">
        <v>3152</v>
      </c>
      <c r="C1491" s="1" t="s">
        <v>3145</v>
      </c>
      <c r="D1491" s="1" t="s">
        <v>3146</v>
      </c>
      <c r="E1491" s="1" t="s">
        <v>3153</v>
      </c>
      <c r="F1491" s="1" t="str">
        <f>HYPERLINK("https://talan.bank.gov.ua/get-user-certificate/J5325poKJLBVnhLAODTm","Завантажити сертифікат")</f>
        <v>Завантажити сертифікат</v>
      </c>
    </row>
    <row r="1492" spans="1:6" x14ac:dyDescent="0.3">
      <c r="A1492" s="2">
        <v>1491</v>
      </c>
      <c r="B1492" s="1" t="s">
        <v>3154</v>
      </c>
      <c r="C1492" s="1" t="s">
        <v>3145</v>
      </c>
      <c r="D1492" s="1" t="s">
        <v>3146</v>
      </c>
      <c r="E1492" s="1" t="s">
        <v>3155</v>
      </c>
      <c r="F1492" s="1" t="str">
        <f>HYPERLINK("https://talan.bank.gov.ua/get-user-certificate/J53251AJ9wYKTn1_hysg","Завантажити сертифікат")</f>
        <v>Завантажити сертифікат</v>
      </c>
    </row>
    <row r="1493" spans="1:6" x14ac:dyDescent="0.3">
      <c r="A1493" s="2">
        <v>1492</v>
      </c>
      <c r="B1493" s="1" t="s">
        <v>3156</v>
      </c>
      <c r="C1493" s="1" t="s">
        <v>3145</v>
      </c>
      <c r="D1493" s="1" t="s">
        <v>3146</v>
      </c>
      <c r="E1493" s="1" t="s">
        <v>3157</v>
      </c>
      <c r="F1493" s="1" t="str">
        <f>HYPERLINK("https://talan.bank.gov.ua/get-user-certificate/J5325u2Tlr65SWp43v6-","Завантажити сертифікат")</f>
        <v>Завантажити сертифікат</v>
      </c>
    </row>
    <row r="1494" spans="1:6" x14ac:dyDescent="0.3">
      <c r="A1494" s="2">
        <v>1493</v>
      </c>
      <c r="B1494" s="1" t="s">
        <v>3158</v>
      </c>
      <c r="C1494" s="1" t="s">
        <v>3145</v>
      </c>
      <c r="D1494" s="1" t="s">
        <v>3146</v>
      </c>
      <c r="E1494" s="1" t="s">
        <v>3159</v>
      </c>
      <c r="F1494" s="1" t="str">
        <f>HYPERLINK("https://talan.bank.gov.ua/get-user-certificate/J5325xP7fGj0AIzhQlMd","Завантажити сертифікат")</f>
        <v>Завантажити сертифікат</v>
      </c>
    </row>
    <row r="1495" spans="1:6" x14ac:dyDescent="0.3">
      <c r="A1495" s="2">
        <v>1494</v>
      </c>
      <c r="B1495" s="1" t="s">
        <v>3160</v>
      </c>
      <c r="C1495" s="1" t="s">
        <v>3145</v>
      </c>
      <c r="D1495" s="1" t="s">
        <v>3146</v>
      </c>
      <c r="E1495" s="1" t="s">
        <v>3161</v>
      </c>
      <c r="F1495" s="1" t="str">
        <f>HYPERLINK("https://talan.bank.gov.ua/get-user-certificate/J5325f7u928nFD1Z_B5e","Завантажити сертифікат")</f>
        <v>Завантажити сертифікат</v>
      </c>
    </row>
    <row r="1496" spans="1:6" ht="28.8" x14ac:dyDescent="0.3">
      <c r="A1496" s="2">
        <v>1495</v>
      </c>
      <c r="B1496" s="1" t="s">
        <v>3162</v>
      </c>
      <c r="C1496" s="1" t="s">
        <v>3163</v>
      </c>
      <c r="D1496" s="1" t="s">
        <v>3164</v>
      </c>
      <c r="E1496" s="1" t="s">
        <v>3165</v>
      </c>
      <c r="F1496" s="1" t="str">
        <f>HYPERLINK("https://talan.bank.gov.ua/get-user-certificate/J5325xUTuZMIc5ldZk4a","Завантажити сертифікат")</f>
        <v>Завантажити сертифікат</v>
      </c>
    </row>
    <row r="1497" spans="1:6" ht="28.8" x14ac:dyDescent="0.3">
      <c r="A1497" s="2">
        <v>1496</v>
      </c>
      <c r="B1497" s="1" t="s">
        <v>3166</v>
      </c>
      <c r="C1497" s="1" t="s">
        <v>3167</v>
      </c>
      <c r="D1497" s="1" t="s">
        <v>3168</v>
      </c>
      <c r="E1497" s="1" t="s">
        <v>3169</v>
      </c>
      <c r="F1497" s="1" t="str">
        <f>HYPERLINK("https://talan.bank.gov.ua/get-user-certificate/J5325vr2b2bATNypZwFN","Завантажити сертифікат")</f>
        <v>Завантажити сертифікат</v>
      </c>
    </row>
    <row r="1498" spans="1:6" ht="28.8" x14ac:dyDescent="0.3">
      <c r="A1498" s="2">
        <v>1497</v>
      </c>
      <c r="B1498" s="1" t="s">
        <v>3170</v>
      </c>
      <c r="C1498" s="1" t="s">
        <v>3167</v>
      </c>
      <c r="D1498" s="1" t="s">
        <v>3168</v>
      </c>
      <c r="E1498" s="1" t="s">
        <v>3171</v>
      </c>
      <c r="F1498" s="1" t="str">
        <f>HYPERLINK("https://talan.bank.gov.ua/get-user-certificate/J5325o_NAR-kEiX8PEv4","Завантажити сертифікат")</f>
        <v>Завантажити сертифікат</v>
      </c>
    </row>
    <row r="1499" spans="1:6" ht="28.8" x14ac:dyDescent="0.3">
      <c r="A1499" s="2">
        <v>1498</v>
      </c>
      <c r="B1499" s="1" t="s">
        <v>3172</v>
      </c>
      <c r="C1499" s="1" t="s">
        <v>3167</v>
      </c>
      <c r="D1499" s="1" t="s">
        <v>3168</v>
      </c>
      <c r="E1499" s="1" t="s">
        <v>3173</v>
      </c>
      <c r="F1499" s="1" t="str">
        <f>HYPERLINK("https://talan.bank.gov.ua/get-user-certificate/J5325RZTeNxKAv1tlkQG","Завантажити сертифікат")</f>
        <v>Завантажити сертифікат</v>
      </c>
    </row>
    <row r="1500" spans="1:6" ht="28.8" x14ac:dyDescent="0.3">
      <c r="A1500" s="2">
        <v>1499</v>
      </c>
      <c r="B1500" s="1" t="s">
        <v>3174</v>
      </c>
      <c r="C1500" s="1" t="s">
        <v>3167</v>
      </c>
      <c r="D1500" s="1" t="s">
        <v>3168</v>
      </c>
      <c r="E1500" s="1" t="s">
        <v>3175</v>
      </c>
      <c r="F1500" s="1" t="str">
        <f>HYPERLINK("https://talan.bank.gov.ua/get-user-certificate/J5325_rpvY6WXC1F2WsA","Завантажити сертифікат")</f>
        <v>Завантажити сертифікат</v>
      </c>
    </row>
    <row r="1501" spans="1:6" ht="28.8" x14ac:dyDescent="0.3">
      <c r="A1501" s="2">
        <v>1500</v>
      </c>
      <c r="B1501" s="1" t="s">
        <v>3176</v>
      </c>
      <c r="C1501" s="1" t="s">
        <v>3167</v>
      </c>
      <c r="D1501" s="1" t="s">
        <v>3168</v>
      </c>
      <c r="E1501" s="1" t="s">
        <v>3177</v>
      </c>
      <c r="F1501" s="1" t="str">
        <f>HYPERLINK("https://talan.bank.gov.ua/get-user-certificate/J5325iyeS1RQx5VZkcfk","Завантажити сертифікат")</f>
        <v>Завантажити сертифікат</v>
      </c>
    </row>
    <row r="1502" spans="1:6" ht="28.8" x14ac:dyDescent="0.3">
      <c r="A1502" s="2">
        <v>1501</v>
      </c>
      <c r="B1502" s="1" t="s">
        <v>3178</v>
      </c>
      <c r="C1502" s="1" t="s">
        <v>3167</v>
      </c>
      <c r="D1502" s="1" t="s">
        <v>3168</v>
      </c>
      <c r="E1502" s="1" t="s">
        <v>3179</v>
      </c>
      <c r="F1502" s="1" t="str">
        <f>HYPERLINK("https://talan.bank.gov.ua/get-user-certificate/J53259aJ6TPnWiE3ttRq","Завантажити сертифікат")</f>
        <v>Завантажити сертифікат</v>
      </c>
    </row>
    <row r="1503" spans="1:6" ht="28.8" x14ac:dyDescent="0.3">
      <c r="A1503" s="2">
        <v>1502</v>
      </c>
      <c r="B1503" s="1" t="s">
        <v>3180</v>
      </c>
      <c r="C1503" s="1" t="s">
        <v>3167</v>
      </c>
      <c r="D1503" s="1" t="s">
        <v>3168</v>
      </c>
      <c r="E1503" s="1" t="s">
        <v>3181</v>
      </c>
      <c r="F1503" s="1" t="str">
        <f>HYPERLINK("https://talan.bank.gov.ua/get-user-certificate/J5325u6RZstKVerihsT3","Завантажити сертифікат")</f>
        <v>Завантажити сертифікат</v>
      </c>
    </row>
    <row r="1504" spans="1:6" ht="28.8" x14ac:dyDescent="0.3">
      <c r="A1504" s="2">
        <v>1503</v>
      </c>
      <c r="B1504" s="1" t="s">
        <v>3182</v>
      </c>
      <c r="C1504" s="1" t="s">
        <v>3167</v>
      </c>
      <c r="D1504" s="1" t="s">
        <v>3168</v>
      </c>
      <c r="E1504" s="1" t="s">
        <v>3183</v>
      </c>
      <c r="F1504" s="1" t="str">
        <f>HYPERLINK("https://talan.bank.gov.ua/get-user-certificate/J5325urTlHM8CAQueDvM","Завантажити сертифікат")</f>
        <v>Завантажити сертифікат</v>
      </c>
    </row>
    <row r="1505" spans="1:6" ht="28.8" x14ac:dyDescent="0.3">
      <c r="A1505" s="2">
        <v>1504</v>
      </c>
      <c r="B1505" s="1" t="s">
        <v>3184</v>
      </c>
      <c r="C1505" s="1" t="s">
        <v>3167</v>
      </c>
      <c r="D1505" s="1" t="s">
        <v>3168</v>
      </c>
      <c r="E1505" s="1" t="s">
        <v>3185</v>
      </c>
      <c r="F1505" s="1" t="str">
        <f>HYPERLINK("https://talan.bank.gov.ua/get-user-certificate/J5325DASEIRJxpgT_Y_n","Завантажити сертифікат")</f>
        <v>Завантажити сертифікат</v>
      </c>
    </row>
    <row r="1506" spans="1:6" ht="28.8" x14ac:dyDescent="0.3">
      <c r="A1506" s="2">
        <v>1505</v>
      </c>
      <c r="B1506" s="1" t="s">
        <v>3186</v>
      </c>
      <c r="C1506" s="1" t="s">
        <v>3167</v>
      </c>
      <c r="D1506" s="1" t="s">
        <v>3168</v>
      </c>
      <c r="E1506" s="1" t="s">
        <v>3187</v>
      </c>
      <c r="F1506" s="1" t="str">
        <f>HYPERLINK("https://talan.bank.gov.ua/get-user-certificate/J53252S-wntYb6A9EWgP","Завантажити сертифікат")</f>
        <v>Завантажити сертифікат</v>
      </c>
    </row>
    <row r="1507" spans="1:6" ht="28.8" x14ac:dyDescent="0.3">
      <c r="A1507" s="2">
        <v>1506</v>
      </c>
      <c r="B1507" s="1" t="s">
        <v>3188</v>
      </c>
      <c r="C1507" s="1" t="s">
        <v>3167</v>
      </c>
      <c r="D1507" s="1" t="s">
        <v>3168</v>
      </c>
      <c r="E1507" s="1" t="s">
        <v>3189</v>
      </c>
      <c r="F1507" s="1" t="str">
        <f>HYPERLINK("https://talan.bank.gov.ua/get-user-certificate/J5325McHzqQFx0SWL1fL","Завантажити сертифікат")</f>
        <v>Завантажити сертифікат</v>
      </c>
    </row>
    <row r="1508" spans="1:6" ht="28.8" x14ac:dyDescent="0.3">
      <c r="A1508" s="2">
        <v>1507</v>
      </c>
      <c r="B1508" s="1" t="s">
        <v>3190</v>
      </c>
      <c r="C1508" s="1" t="s">
        <v>3167</v>
      </c>
      <c r="D1508" s="1" t="s">
        <v>3168</v>
      </c>
      <c r="E1508" s="1" t="s">
        <v>3191</v>
      </c>
      <c r="F1508" s="1" t="str">
        <f>HYPERLINK("https://talan.bank.gov.ua/get-user-certificate/J5325NIUKtYkhYbOVaz9","Завантажити сертифікат")</f>
        <v>Завантажити сертифікат</v>
      </c>
    </row>
    <row r="1509" spans="1:6" ht="28.8" x14ac:dyDescent="0.3">
      <c r="A1509" s="2">
        <v>1508</v>
      </c>
      <c r="B1509" s="1" t="s">
        <v>3192</v>
      </c>
      <c r="C1509" s="1" t="s">
        <v>3167</v>
      </c>
      <c r="D1509" s="1" t="s">
        <v>3168</v>
      </c>
      <c r="E1509" s="1" t="s">
        <v>3193</v>
      </c>
      <c r="F1509" s="1" t="str">
        <f>HYPERLINK("https://talan.bank.gov.ua/get-user-certificate/J5325BFn0hPNokEv12qa","Завантажити сертифікат")</f>
        <v>Завантажити сертифікат</v>
      </c>
    </row>
    <row r="1510" spans="1:6" ht="28.8" x14ac:dyDescent="0.3">
      <c r="A1510" s="2">
        <v>1509</v>
      </c>
      <c r="B1510" s="1" t="s">
        <v>3194</v>
      </c>
      <c r="C1510" s="1" t="s">
        <v>3167</v>
      </c>
      <c r="D1510" s="1" t="s">
        <v>3168</v>
      </c>
      <c r="E1510" s="1" t="s">
        <v>3195</v>
      </c>
      <c r="F1510" s="1" t="str">
        <f>HYPERLINK("https://talan.bank.gov.ua/get-user-certificate/J53252wD1eGVBWjnoPV7","Завантажити сертифікат")</f>
        <v>Завантажити сертифікат</v>
      </c>
    </row>
    <row r="1511" spans="1:6" ht="28.8" x14ac:dyDescent="0.3">
      <c r="A1511" s="2">
        <v>1510</v>
      </c>
      <c r="B1511" s="1" t="s">
        <v>3196</v>
      </c>
      <c r="C1511" s="1" t="s">
        <v>3167</v>
      </c>
      <c r="D1511" s="1" t="s">
        <v>3168</v>
      </c>
      <c r="E1511" s="1" t="s">
        <v>3197</v>
      </c>
      <c r="F1511" s="1" t="str">
        <f>HYPERLINK("https://talan.bank.gov.ua/get-user-certificate/J5325Gj1k9kcVGZZHfk1","Завантажити сертифікат")</f>
        <v>Завантажити сертифікат</v>
      </c>
    </row>
    <row r="1512" spans="1:6" ht="28.8" x14ac:dyDescent="0.3">
      <c r="A1512" s="2">
        <v>1511</v>
      </c>
      <c r="B1512" s="1" t="s">
        <v>3198</v>
      </c>
      <c r="C1512" s="1" t="s">
        <v>3167</v>
      </c>
      <c r="D1512" s="1" t="s">
        <v>3168</v>
      </c>
      <c r="E1512" s="1" t="s">
        <v>3199</v>
      </c>
      <c r="F1512" s="1" t="str">
        <f>HYPERLINK("https://talan.bank.gov.ua/get-user-certificate/J5325ilmHvy2llVAEumY","Завантажити сертифікат")</f>
        <v>Завантажити сертифікат</v>
      </c>
    </row>
    <row r="1513" spans="1:6" ht="28.8" x14ac:dyDescent="0.3">
      <c r="A1513" s="2">
        <v>1512</v>
      </c>
      <c r="B1513" s="1" t="s">
        <v>3200</v>
      </c>
      <c r="C1513" s="1" t="s">
        <v>3167</v>
      </c>
      <c r="D1513" s="1" t="s">
        <v>3168</v>
      </c>
      <c r="E1513" s="1" t="s">
        <v>3201</v>
      </c>
      <c r="F1513" s="1" t="str">
        <f>HYPERLINK("https://talan.bank.gov.ua/get-user-certificate/J5325ePU0d-GrT2suvwX","Завантажити сертифікат")</f>
        <v>Завантажити сертифікат</v>
      </c>
    </row>
    <row r="1514" spans="1:6" ht="28.8" x14ac:dyDescent="0.3">
      <c r="A1514" s="2">
        <v>1513</v>
      </c>
      <c r="B1514" s="1" t="s">
        <v>3202</v>
      </c>
      <c r="C1514" s="1" t="s">
        <v>3167</v>
      </c>
      <c r="D1514" s="1" t="s">
        <v>3168</v>
      </c>
      <c r="E1514" s="1" t="s">
        <v>3203</v>
      </c>
      <c r="F1514" s="1" t="str">
        <f>HYPERLINK("https://talan.bank.gov.ua/get-user-certificate/J5325MmND_GDAEMJ9XcR","Завантажити сертифікат")</f>
        <v>Завантажити сертифікат</v>
      </c>
    </row>
    <row r="1515" spans="1:6" ht="28.8" x14ac:dyDescent="0.3">
      <c r="A1515" s="2">
        <v>1514</v>
      </c>
      <c r="B1515" s="1" t="s">
        <v>3204</v>
      </c>
      <c r="C1515" s="1" t="s">
        <v>3167</v>
      </c>
      <c r="D1515" s="1" t="s">
        <v>3168</v>
      </c>
      <c r="E1515" s="1" t="s">
        <v>3205</v>
      </c>
      <c r="F1515" s="1" t="str">
        <f>HYPERLINK("https://talan.bank.gov.ua/get-user-certificate/J5325MUAbdWh08cmEyw1","Завантажити сертифікат")</f>
        <v>Завантажити сертифікат</v>
      </c>
    </row>
    <row r="1516" spans="1:6" ht="28.8" x14ac:dyDescent="0.3">
      <c r="A1516" s="2">
        <v>1515</v>
      </c>
      <c r="B1516" s="1" t="s">
        <v>3206</v>
      </c>
      <c r="C1516" s="1" t="s">
        <v>3167</v>
      </c>
      <c r="D1516" s="1" t="s">
        <v>3168</v>
      </c>
      <c r="E1516" s="1" t="s">
        <v>3207</v>
      </c>
      <c r="F1516" s="1" t="str">
        <f>HYPERLINK("https://talan.bank.gov.ua/get-user-certificate/J5325TaYy634ybYmAJ_k","Завантажити сертифікат")</f>
        <v>Завантажити сертифікат</v>
      </c>
    </row>
    <row r="1517" spans="1:6" ht="28.8" x14ac:dyDescent="0.3">
      <c r="A1517" s="2">
        <v>1516</v>
      </c>
      <c r="B1517" s="1" t="s">
        <v>3208</v>
      </c>
      <c r="C1517" s="1" t="s">
        <v>3167</v>
      </c>
      <c r="D1517" s="1" t="s">
        <v>3168</v>
      </c>
      <c r="E1517" s="1" t="s">
        <v>3209</v>
      </c>
      <c r="F1517" s="1" t="str">
        <f>HYPERLINK("https://talan.bank.gov.ua/get-user-certificate/J5325mlOlmyoNdDcvhNC","Завантажити сертифікат")</f>
        <v>Завантажити сертифікат</v>
      </c>
    </row>
    <row r="1518" spans="1:6" ht="28.8" x14ac:dyDescent="0.3">
      <c r="A1518" s="2">
        <v>1517</v>
      </c>
      <c r="B1518" s="1" t="s">
        <v>3210</v>
      </c>
      <c r="C1518" s="1" t="s">
        <v>3167</v>
      </c>
      <c r="D1518" s="1" t="s">
        <v>3168</v>
      </c>
      <c r="E1518" s="1" t="s">
        <v>3211</v>
      </c>
      <c r="F1518" s="1" t="str">
        <f>HYPERLINK("https://talan.bank.gov.ua/get-user-certificate/J5325TZ8_UBR3PipktpB","Завантажити сертифікат")</f>
        <v>Завантажити сертифікат</v>
      </c>
    </row>
    <row r="1519" spans="1:6" ht="28.8" x14ac:dyDescent="0.3">
      <c r="A1519" s="2">
        <v>1518</v>
      </c>
      <c r="B1519" s="1" t="s">
        <v>3212</v>
      </c>
      <c r="C1519" s="1" t="s">
        <v>3167</v>
      </c>
      <c r="D1519" s="1" t="s">
        <v>3168</v>
      </c>
      <c r="E1519" s="1" t="s">
        <v>3213</v>
      </c>
      <c r="F1519" s="1" t="str">
        <f>HYPERLINK("https://talan.bank.gov.ua/get-user-certificate/J5325NOArtO7nOelx01C","Завантажити сертифікат")</f>
        <v>Завантажити сертифікат</v>
      </c>
    </row>
    <row r="1520" spans="1:6" ht="28.8" x14ac:dyDescent="0.3">
      <c r="A1520" s="2">
        <v>1519</v>
      </c>
      <c r="B1520" s="1" t="s">
        <v>3214</v>
      </c>
      <c r="C1520" s="1" t="s">
        <v>3167</v>
      </c>
      <c r="D1520" s="1" t="s">
        <v>3168</v>
      </c>
      <c r="E1520" s="1" t="s">
        <v>3215</v>
      </c>
      <c r="F1520" s="1" t="str">
        <f>HYPERLINK("https://talan.bank.gov.ua/get-user-certificate/J5325ltIc8XnjoDY2pDI","Завантажити сертифікат")</f>
        <v>Завантажити сертифікат</v>
      </c>
    </row>
    <row r="1521" spans="1:6" ht="28.8" x14ac:dyDescent="0.3">
      <c r="A1521" s="2">
        <v>1520</v>
      </c>
      <c r="B1521" s="1" t="s">
        <v>3216</v>
      </c>
      <c r="C1521" s="1" t="s">
        <v>3167</v>
      </c>
      <c r="D1521" s="1" t="s">
        <v>3168</v>
      </c>
      <c r="E1521" s="1" t="s">
        <v>3217</v>
      </c>
      <c r="F1521" s="1" t="str">
        <f>HYPERLINK("https://talan.bank.gov.ua/get-user-certificate/J5325QSAd8teSoEDBOJi","Завантажити сертифікат")</f>
        <v>Завантажити сертифікат</v>
      </c>
    </row>
    <row r="1522" spans="1:6" ht="28.8" x14ac:dyDescent="0.3">
      <c r="A1522" s="2">
        <v>1521</v>
      </c>
      <c r="B1522" s="1" t="s">
        <v>3218</v>
      </c>
      <c r="C1522" s="1" t="s">
        <v>3167</v>
      </c>
      <c r="D1522" s="1" t="s">
        <v>3168</v>
      </c>
      <c r="E1522" s="1" t="s">
        <v>3219</v>
      </c>
      <c r="F1522" s="1" t="str">
        <f>HYPERLINK("https://talan.bank.gov.ua/get-user-certificate/J5325w_LXe0KIM8kNVb8","Завантажити сертифікат")</f>
        <v>Завантажити сертифікат</v>
      </c>
    </row>
    <row r="1523" spans="1:6" ht="28.8" x14ac:dyDescent="0.3">
      <c r="A1523" s="2">
        <v>1522</v>
      </c>
      <c r="B1523" s="1" t="s">
        <v>3220</v>
      </c>
      <c r="C1523" s="1" t="s">
        <v>3167</v>
      </c>
      <c r="D1523" s="1" t="s">
        <v>3168</v>
      </c>
      <c r="E1523" s="1" t="s">
        <v>3221</v>
      </c>
      <c r="F1523" s="1" t="str">
        <f>HYPERLINK("https://talan.bank.gov.ua/get-user-certificate/J5325kyErLWbu6jPy3k-","Завантажити сертифікат")</f>
        <v>Завантажити сертифікат</v>
      </c>
    </row>
    <row r="1524" spans="1:6" ht="28.8" x14ac:dyDescent="0.3">
      <c r="A1524" s="2">
        <v>1523</v>
      </c>
      <c r="B1524" s="1" t="s">
        <v>3222</v>
      </c>
      <c r="C1524" s="1" t="s">
        <v>3167</v>
      </c>
      <c r="D1524" s="1" t="s">
        <v>3168</v>
      </c>
      <c r="E1524" s="1" t="s">
        <v>3223</v>
      </c>
      <c r="F1524" s="1" t="str">
        <f>HYPERLINK("https://talan.bank.gov.ua/get-user-certificate/J53254a5W3XwbbfrckiV","Завантажити сертифікат")</f>
        <v>Завантажити сертифікат</v>
      </c>
    </row>
    <row r="1525" spans="1:6" ht="28.8" x14ac:dyDescent="0.3">
      <c r="A1525" s="2">
        <v>1524</v>
      </c>
      <c r="B1525" s="1" t="s">
        <v>3224</v>
      </c>
      <c r="C1525" s="1" t="s">
        <v>3167</v>
      </c>
      <c r="D1525" s="1" t="s">
        <v>3168</v>
      </c>
      <c r="E1525" s="1" t="s">
        <v>3225</v>
      </c>
      <c r="F1525" s="1" t="str">
        <f>HYPERLINK("https://talan.bank.gov.ua/get-user-certificate/J5325BJpMYCUZ2hQ_guu","Завантажити сертифікат")</f>
        <v>Завантажити сертифікат</v>
      </c>
    </row>
    <row r="1526" spans="1:6" ht="28.8" x14ac:dyDescent="0.3">
      <c r="A1526" s="2">
        <v>1525</v>
      </c>
      <c r="B1526" s="1" t="s">
        <v>3226</v>
      </c>
      <c r="C1526" s="1" t="s">
        <v>3167</v>
      </c>
      <c r="D1526" s="1" t="s">
        <v>3168</v>
      </c>
      <c r="E1526" s="1" t="s">
        <v>3227</v>
      </c>
      <c r="F1526" s="1" t="str">
        <f>HYPERLINK("https://talan.bank.gov.ua/get-user-certificate/J5325owQrJbjAhmHpIir","Завантажити сертифікат")</f>
        <v>Завантажити сертифікат</v>
      </c>
    </row>
    <row r="1527" spans="1:6" ht="28.8" x14ac:dyDescent="0.3">
      <c r="A1527" s="2">
        <v>1526</v>
      </c>
      <c r="B1527" s="1" t="s">
        <v>3228</v>
      </c>
      <c r="C1527" s="1" t="s">
        <v>3167</v>
      </c>
      <c r="D1527" s="1" t="s">
        <v>3168</v>
      </c>
      <c r="E1527" s="1" t="s">
        <v>3229</v>
      </c>
      <c r="F1527" s="1" t="str">
        <f>HYPERLINK("https://talan.bank.gov.ua/get-user-certificate/J5325omDL9-awfuWwx82","Завантажити сертифікат")</f>
        <v>Завантажити сертифікат</v>
      </c>
    </row>
    <row r="1528" spans="1:6" ht="28.8" x14ac:dyDescent="0.3">
      <c r="A1528" s="2">
        <v>1527</v>
      </c>
      <c r="B1528" s="1" t="s">
        <v>3230</v>
      </c>
      <c r="C1528" s="1" t="s">
        <v>3167</v>
      </c>
      <c r="D1528" s="1" t="s">
        <v>3168</v>
      </c>
      <c r="E1528" s="1" t="s">
        <v>3231</v>
      </c>
      <c r="F1528" s="1" t="str">
        <f>HYPERLINK("https://talan.bank.gov.ua/get-user-certificate/J5325icM1asHMESkkxBz","Завантажити сертифікат")</f>
        <v>Завантажити сертифікат</v>
      </c>
    </row>
    <row r="1529" spans="1:6" ht="28.8" x14ac:dyDescent="0.3">
      <c r="A1529" s="2">
        <v>1528</v>
      </c>
      <c r="B1529" s="1" t="s">
        <v>3232</v>
      </c>
      <c r="C1529" s="1" t="s">
        <v>3167</v>
      </c>
      <c r="D1529" s="1" t="s">
        <v>3168</v>
      </c>
      <c r="E1529" s="1" t="s">
        <v>3233</v>
      </c>
      <c r="F1529" s="1" t="str">
        <f>HYPERLINK("https://talan.bank.gov.ua/get-user-certificate/J5325k3Nif0toLlzaBjv","Завантажити сертифікат")</f>
        <v>Завантажити сертифікат</v>
      </c>
    </row>
    <row r="1530" spans="1:6" ht="28.8" x14ac:dyDescent="0.3">
      <c r="A1530" s="2">
        <v>1529</v>
      </c>
      <c r="B1530" s="1" t="s">
        <v>3234</v>
      </c>
      <c r="C1530" s="1" t="s">
        <v>3167</v>
      </c>
      <c r="D1530" s="1" t="s">
        <v>3168</v>
      </c>
      <c r="E1530" s="1" t="s">
        <v>3235</v>
      </c>
      <c r="F1530" s="1" t="str">
        <f>HYPERLINK("https://talan.bank.gov.ua/get-user-certificate/J5325irXCwA5Q6kY7Tvm","Завантажити сертифікат")</f>
        <v>Завантажити сертифікат</v>
      </c>
    </row>
    <row r="1531" spans="1:6" ht="28.8" x14ac:dyDescent="0.3">
      <c r="A1531" s="2">
        <v>1530</v>
      </c>
      <c r="B1531" s="1" t="s">
        <v>3236</v>
      </c>
      <c r="C1531" s="1" t="s">
        <v>3167</v>
      </c>
      <c r="D1531" s="1" t="s">
        <v>3168</v>
      </c>
      <c r="E1531" s="1" t="s">
        <v>3237</v>
      </c>
      <c r="F1531" s="1" t="str">
        <f>HYPERLINK("https://talan.bank.gov.ua/get-user-certificate/J53259QacuhFx94tlTeH","Завантажити сертифікат")</f>
        <v>Завантажити сертифікат</v>
      </c>
    </row>
    <row r="1532" spans="1:6" ht="28.8" x14ac:dyDescent="0.3">
      <c r="A1532" s="2">
        <v>1531</v>
      </c>
      <c r="B1532" s="1" t="s">
        <v>3238</v>
      </c>
      <c r="C1532" s="1" t="s">
        <v>3167</v>
      </c>
      <c r="D1532" s="1" t="s">
        <v>3168</v>
      </c>
      <c r="E1532" s="1" t="s">
        <v>3239</v>
      </c>
      <c r="F1532" s="1" t="str">
        <f>HYPERLINK("https://talan.bank.gov.ua/get-user-certificate/J5325kuAtS5jokmKwcHX","Завантажити сертифікат")</f>
        <v>Завантажити сертифікат</v>
      </c>
    </row>
    <row r="1533" spans="1:6" ht="28.8" x14ac:dyDescent="0.3">
      <c r="A1533" s="2">
        <v>1532</v>
      </c>
      <c r="B1533" s="1" t="s">
        <v>3240</v>
      </c>
      <c r="C1533" s="1" t="s">
        <v>3167</v>
      </c>
      <c r="D1533" s="1" t="s">
        <v>3168</v>
      </c>
      <c r="E1533" s="1" t="s">
        <v>3241</v>
      </c>
      <c r="F1533" s="1" t="str">
        <f>HYPERLINK("https://talan.bank.gov.ua/get-user-certificate/J5325j7xVtp0-3aYUcxu","Завантажити сертифікат")</f>
        <v>Завантажити сертифікат</v>
      </c>
    </row>
    <row r="1534" spans="1:6" ht="28.8" x14ac:dyDescent="0.3">
      <c r="A1534" s="2">
        <v>1533</v>
      </c>
      <c r="B1534" s="1" t="s">
        <v>3242</v>
      </c>
      <c r="C1534" s="1" t="s">
        <v>3167</v>
      </c>
      <c r="D1534" s="1" t="s">
        <v>3168</v>
      </c>
      <c r="E1534" s="1" t="s">
        <v>3243</v>
      </c>
      <c r="F1534" s="1" t="str">
        <f>HYPERLINK("https://talan.bank.gov.ua/get-user-certificate/J5325M4F91BuHiGxTCgc","Завантажити сертифікат")</f>
        <v>Завантажити сертифікат</v>
      </c>
    </row>
    <row r="1535" spans="1:6" ht="28.8" x14ac:dyDescent="0.3">
      <c r="A1535" s="2">
        <v>1534</v>
      </c>
      <c r="B1535" s="1" t="s">
        <v>3244</v>
      </c>
      <c r="C1535" s="1" t="s">
        <v>3167</v>
      </c>
      <c r="D1535" s="1" t="s">
        <v>3168</v>
      </c>
      <c r="E1535" s="1" t="s">
        <v>3245</v>
      </c>
      <c r="F1535" s="1" t="str">
        <f>HYPERLINK("https://talan.bank.gov.ua/get-user-certificate/J5325QZaSsL1dzwXHVsK","Завантажити сертифікат")</f>
        <v>Завантажити сертифікат</v>
      </c>
    </row>
    <row r="1536" spans="1:6" ht="28.8" x14ac:dyDescent="0.3">
      <c r="A1536" s="2">
        <v>1535</v>
      </c>
      <c r="B1536" s="1" t="s">
        <v>3246</v>
      </c>
      <c r="C1536" s="1" t="s">
        <v>3167</v>
      </c>
      <c r="D1536" s="1" t="s">
        <v>3168</v>
      </c>
      <c r="E1536" s="1" t="s">
        <v>3247</v>
      </c>
      <c r="F1536" s="1" t="str">
        <f>HYPERLINK("https://talan.bank.gov.ua/get-user-certificate/J5325x3_BNnxu12TJsRe","Завантажити сертифікат")</f>
        <v>Завантажити сертифікат</v>
      </c>
    </row>
    <row r="1537" spans="1:6" ht="28.8" x14ac:dyDescent="0.3">
      <c r="A1537" s="2">
        <v>1536</v>
      </c>
      <c r="B1537" s="1" t="s">
        <v>3248</v>
      </c>
      <c r="C1537" s="1" t="s">
        <v>3167</v>
      </c>
      <c r="D1537" s="1" t="s">
        <v>3168</v>
      </c>
      <c r="E1537" s="1" t="s">
        <v>3249</v>
      </c>
      <c r="F1537" s="1" t="str">
        <f>HYPERLINK("https://talan.bank.gov.ua/get-user-certificate/J5325vcL7AeN-RyXB03N","Завантажити сертифікат")</f>
        <v>Завантажити сертифікат</v>
      </c>
    </row>
    <row r="1538" spans="1:6" ht="28.8" x14ac:dyDescent="0.3">
      <c r="A1538" s="2">
        <v>1537</v>
      </c>
      <c r="B1538" s="1" t="s">
        <v>3250</v>
      </c>
      <c r="C1538" s="1" t="s">
        <v>3167</v>
      </c>
      <c r="D1538" s="1" t="s">
        <v>3168</v>
      </c>
      <c r="E1538" s="1" t="s">
        <v>3251</v>
      </c>
      <c r="F1538" s="1" t="str">
        <f>HYPERLINK("https://talan.bank.gov.ua/get-user-certificate/J5325ObeQxscQVa9ELLD","Завантажити сертифікат")</f>
        <v>Завантажити сертифікат</v>
      </c>
    </row>
    <row r="1539" spans="1:6" ht="28.8" x14ac:dyDescent="0.3">
      <c r="A1539" s="2">
        <v>1538</v>
      </c>
      <c r="B1539" s="1" t="s">
        <v>3252</v>
      </c>
      <c r="C1539" s="1" t="s">
        <v>3167</v>
      </c>
      <c r="D1539" s="1" t="s">
        <v>3168</v>
      </c>
      <c r="E1539" s="1" t="s">
        <v>3253</v>
      </c>
      <c r="F1539" s="1" t="str">
        <f>HYPERLINK("https://talan.bank.gov.ua/get-user-certificate/J5325HskuOJLu141q102","Завантажити сертифікат")</f>
        <v>Завантажити сертифікат</v>
      </c>
    </row>
    <row r="1540" spans="1:6" ht="28.8" x14ac:dyDescent="0.3">
      <c r="A1540" s="2">
        <v>1539</v>
      </c>
      <c r="B1540" s="1" t="s">
        <v>3254</v>
      </c>
      <c r="C1540" s="1" t="s">
        <v>3167</v>
      </c>
      <c r="D1540" s="1" t="s">
        <v>3168</v>
      </c>
      <c r="E1540" s="1" t="s">
        <v>3255</v>
      </c>
      <c r="F1540" s="1" t="str">
        <f>HYPERLINK("https://talan.bank.gov.ua/get-user-certificate/J5325rHdmugM0qWtpb1X","Завантажити сертифікат")</f>
        <v>Завантажити сертифікат</v>
      </c>
    </row>
    <row r="1541" spans="1:6" ht="28.8" x14ac:dyDescent="0.3">
      <c r="A1541" s="2">
        <v>1540</v>
      </c>
      <c r="B1541" s="1" t="s">
        <v>3256</v>
      </c>
      <c r="C1541" s="1" t="s">
        <v>3167</v>
      </c>
      <c r="D1541" s="1" t="s">
        <v>3168</v>
      </c>
      <c r="E1541" s="1" t="s">
        <v>3257</v>
      </c>
      <c r="F1541" s="1" t="str">
        <f>HYPERLINK("https://talan.bank.gov.ua/get-user-certificate/J5325X_0HvG7QtkgCz2V","Завантажити сертифікат")</f>
        <v>Завантажити сертифікат</v>
      </c>
    </row>
    <row r="1542" spans="1:6" ht="28.8" x14ac:dyDescent="0.3">
      <c r="A1542" s="2">
        <v>1541</v>
      </c>
      <c r="B1542" s="1" t="s">
        <v>3258</v>
      </c>
      <c r="C1542" s="1" t="s">
        <v>3167</v>
      </c>
      <c r="D1542" s="1" t="s">
        <v>3168</v>
      </c>
      <c r="E1542" s="1" t="s">
        <v>3259</v>
      </c>
      <c r="F1542" s="1" t="str">
        <f>HYPERLINK("https://talan.bank.gov.ua/get-user-certificate/J5325mfv0NH1K7WRIK7u","Завантажити сертифікат")</f>
        <v>Завантажити сертифікат</v>
      </c>
    </row>
    <row r="1543" spans="1:6" ht="28.8" x14ac:dyDescent="0.3">
      <c r="A1543" s="2">
        <v>1542</v>
      </c>
      <c r="B1543" s="1" t="s">
        <v>3260</v>
      </c>
      <c r="C1543" s="1" t="s">
        <v>3167</v>
      </c>
      <c r="D1543" s="1" t="s">
        <v>3168</v>
      </c>
      <c r="E1543" s="1" t="s">
        <v>3261</v>
      </c>
      <c r="F1543" s="1" t="str">
        <f>HYPERLINK("https://talan.bank.gov.ua/get-user-certificate/J5325P0M0iFh-ma1NBri","Завантажити сертифікат")</f>
        <v>Завантажити сертифікат</v>
      </c>
    </row>
    <row r="1544" spans="1:6" ht="28.8" x14ac:dyDescent="0.3">
      <c r="A1544" s="2">
        <v>1543</v>
      </c>
      <c r="B1544" s="1" t="s">
        <v>3262</v>
      </c>
      <c r="C1544" s="1" t="s">
        <v>3167</v>
      </c>
      <c r="D1544" s="1" t="s">
        <v>3168</v>
      </c>
      <c r="E1544" s="1" t="s">
        <v>3263</v>
      </c>
      <c r="F1544" s="1" t="str">
        <f>HYPERLINK("https://talan.bank.gov.ua/get-user-certificate/J5325pBu2EpiU0jsnVaz","Завантажити сертифікат")</f>
        <v>Завантажити сертифікат</v>
      </c>
    </row>
    <row r="1545" spans="1:6" ht="28.8" x14ac:dyDescent="0.3">
      <c r="A1545" s="2">
        <v>1544</v>
      </c>
      <c r="B1545" s="1" t="s">
        <v>3264</v>
      </c>
      <c r="C1545" s="1" t="s">
        <v>3167</v>
      </c>
      <c r="D1545" s="1" t="s">
        <v>3168</v>
      </c>
      <c r="E1545" s="1" t="s">
        <v>3265</v>
      </c>
      <c r="F1545" s="1" t="str">
        <f>HYPERLINK("https://talan.bank.gov.ua/get-user-certificate/J5325BlWvoxUqfg0d2Zx","Завантажити сертифікат")</f>
        <v>Завантажити сертифікат</v>
      </c>
    </row>
    <row r="1546" spans="1:6" ht="28.8" x14ac:dyDescent="0.3">
      <c r="A1546" s="2">
        <v>1545</v>
      </c>
      <c r="B1546" s="1" t="s">
        <v>3266</v>
      </c>
      <c r="C1546" s="1" t="s">
        <v>3167</v>
      </c>
      <c r="D1546" s="1" t="s">
        <v>3168</v>
      </c>
      <c r="E1546" s="1" t="s">
        <v>3267</v>
      </c>
      <c r="F1546" s="1" t="str">
        <f>HYPERLINK("https://talan.bank.gov.ua/get-user-certificate/J5325CGMB838Bo4iKvcD","Завантажити сертифікат")</f>
        <v>Завантажити сертифікат</v>
      </c>
    </row>
    <row r="1547" spans="1:6" ht="28.8" x14ac:dyDescent="0.3">
      <c r="A1547" s="2">
        <v>1546</v>
      </c>
      <c r="B1547" s="1" t="s">
        <v>3268</v>
      </c>
      <c r="C1547" s="1" t="s">
        <v>3167</v>
      </c>
      <c r="D1547" s="1" t="s">
        <v>3168</v>
      </c>
      <c r="E1547" s="1" t="s">
        <v>3269</v>
      </c>
      <c r="F1547" s="1" t="str">
        <f>HYPERLINK("https://talan.bank.gov.ua/get-user-certificate/J5325a2mySgNy-jAs--w","Завантажити сертифікат")</f>
        <v>Завантажити сертифікат</v>
      </c>
    </row>
    <row r="1548" spans="1:6" ht="28.8" x14ac:dyDescent="0.3">
      <c r="A1548" s="2">
        <v>1547</v>
      </c>
      <c r="B1548" s="1" t="s">
        <v>3270</v>
      </c>
      <c r="C1548" s="1" t="s">
        <v>3167</v>
      </c>
      <c r="D1548" s="1" t="s">
        <v>3168</v>
      </c>
      <c r="E1548" s="1" t="s">
        <v>3271</v>
      </c>
      <c r="F1548" s="1" t="str">
        <f>HYPERLINK("https://talan.bank.gov.ua/get-user-certificate/J5325NQMzWN2vjd0K9Cl","Завантажити сертифікат")</f>
        <v>Завантажити сертифікат</v>
      </c>
    </row>
    <row r="1549" spans="1:6" ht="28.8" x14ac:dyDescent="0.3">
      <c r="A1549" s="2">
        <v>1548</v>
      </c>
      <c r="B1549" s="1" t="s">
        <v>3272</v>
      </c>
      <c r="C1549" s="1" t="s">
        <v>3167</v>
      </c>
      <c r="D1549" s="1" t="s">
        <v>3168</v>
      </c>
      <c r="E1549" s="1" t="s">
        <v>3273</v>
      </c>
      <c r="F1549" s="1" t="str">
        <f>HYPERLINK("https://talan.bank.gov.ua/get-user-certificate/J5325AKvbw_-Sb4lJo_u","Завантажити сертифікат")</f>
        <v>Завантажити сертифікат</v>
      </c>
    </row>
    <row r="1550" spans="1:6" ht="28.8" x14ac:dyDescent="0.3">
      <c r="A1550" s="2">
        <v>1549</v>
      </c>
      <c r="B1550" s="1" t="s">
        <v>3274</v>
      </c>
      <c r="C1550" s="1" t="s">
        <v>3167</v>
      </c>
      <c r="D1550" s="1" t="s">
        <v>3168</v>
      </c>
      <c r="E1550" s="1" t="s">
        <v>3275</v>
      </c>
      <c r="F1550" s="1" t="str">
        <f>HYPERLINK("https://talan.bank.gov.ua/get-user-certificate/J5325RtG7mQCim0xNSNd","Завантажити сертифікат")</f>
        <v>Завантажити сертифікат</v>
      </c>
    </row>
    <row r="1551" spans="1:6" ht="28.8" x14ac:dyDescent="0.3">
      <c r="A1551" s="2">
        <v>1550</v>
      </c>
      <c r="B1551" s="1" t="s">
        <v>3276</v>
      </c>
      <c r="C1551" s="1" t="s">
        <v>3167</v>
      </c>
      <c r="D1551" s="1" t="s">
        <v>3168</v>
      </c>
      <c r="E1551" s="1" t="s">
        <v>3277</v>
      </c>
      <c r="F1551" s="1" t="str">
        <f>HYPERLINK("https://talan.bank.gov.ua/get-user-certificate/J5325d4K9Rntq0gFVtRV","Завантажити сертифікат")</f>
        <v>Завантажити сертифікат</v>
      </c>
    </row>
    <row r="1552" spans="1:6" ht="28.8" x14ac:dyDescent="0.3">
      <c r="A1552" s="2">
        <v>1551</v>
      </c>
      <c r="B1552" s="1" t="s">
        <v>3278</v>
      </c>
      <c r="C1552" s="1" t="s">
        <v>3167</v>
      </c>
      <c r="D1552" s="1" t="s">
        <v>3168</v>
      </c>
      <c r="E1552" s="1" t="s">
        <v>3279</v>
      </c>
      <c r="F1552" s="1" t="str">
        <f>HYPERLINK("https://talan.bank.gov.ua/get-user-certificate/J5325iJubySvbegU3CcL","Завантажити сертифікат")</f>
        <v>Завантажити сертифікат</v>
      </c>
    </row>
    <row r="1553" spans="1:6" ht="28.8" x14ac:dyDescent="0.3">
      <c r="A1553" s="2">
        <v>1552</v>
      </c>
      <c r="B1553" s="1" t="s">
        <v>3280</v>
      </c>
      <c r="C1553" s="1" t="s">
        <v>3167</v>
      </c>
      <c r="D1553" s="1" t="s">
        <v>3168</v>
      </c>
      <c r="E1553" s="1" t="s">
        <v>3281</v>
      </c>
      <c r="F1553" s="1" t="str">
        <f>HYPERLINK("https://talan.bank.gov.ua/get-user-certificate/J5325TpFTwC9gnrd6eIn","Завантажити сертифікат")</f>
        <v>Завантажити сертифікат</v>
      </c>
    </row>
    <row r="1554" spans="1:6" ht="28.8" x14ac:dyDescent="0.3">
      <c r="A1554" s="2">
        <v>1553</v>
      </c>
      <c r="B1554" s="1" t="s">
        <v>3282</v>
      </c>
      <c r="C1554" s="1" t="s">
        <v>3167</v>
      </c>
      <c r="D1554" s="1" t="s">
        <v>3168</v>
      </c>
      <c r="E1554" s="1" t="s">
        <v>3283</v>
      </c>
      <c r="F1554" s="1" t="str">
        <f>HYPERLINK("https://talan.bank.gov.ua/get-user-certificate/J5325PIE5ZSco0xPu_pm","Завантажити сертифікат")</f>
        <v>Завантажити сертифікат</v>
      </c>
    </row>
    <row r="1555" spans="1:6" ht="28.8" x14ac:dyDescent="0.3">
      <c r="A1555" s="2">
        <v>1554</v>
      </c>
      <c r="B1555" s="1" t="s">
        <v>3284</v>
      </c>
      <c r="C1555" s="1" t="s">
        <v>3167</v>
      </c>
      <c r="D1555" s="1" t="s">
        <v>3168</v>
      </c>
      <c r="E1555" s="1" t="s">
        <v>3285</v>
      </c>
      <c r="F1555" s="1" t="str">
        <f>HYPERLINK("https://talan.bank.gov.ua/get-user-certificate/J5325FqDQk3AL-y51_LV","Завантажити сертифікат")</f>
        <v>Завантажити сертифікат</v>
      </c>
    </row>
    <row r="1556" spans="1:6" ht="28.8" x14ac:dyDescent="0.3">
      <c r="A1556" s="2">
        <v>1555</v>
      </c>
      <c r="B1556" s="1" t="s">
        <v>3286</v>
      </c>
      <c r="C1556" s="1" t="s">
        <v>3167</v>
      </c>
      <c r="D1556" s="1" t="s">
        <v>3168</v>
      </c>
      <c r="E1556" s="1" t="s">
        <v>3287</v>
      </c>
      <c r="F1556" s="1" t="str">
        <f>HYPERLINK("https://talan.bank.gov.ua/get-user-certificate/J5325bEeFAoxzDPfI5lA","Завантажити сертифікат")</f>
        <v>Завантажити сертифікат</v>
      </c>
    </row>
    <row r="1557" spans="1:6" ht="28.8" x14ac:dyDescent="0.3">
      <c r="A1557" s="2">
        <v>1556</v>
      </c>
      <c r="B1557" s="1" t="s">
        <v>3288</v>
      </c>
      <c r="C1557" s="1" t="s">
        <v>3167</v>
      </c>
      <c r="D1557" s="1" t="s">
        <v>3168</v>
      </c>
      <c r="E1557" s="1" t="s">
        <v>3289</v>
      </c>
      <c r="F1557" s="1" t="str">
        <f>HYPERLINK("https://talan.bank.gov.ua/get-user-certificate/J5325Yg1CaQhNHzkWoXy","Завантажити сертифікат")</f>
        <v>Завантажити сертифікат</v>
      </c>
    </row>
    <row r="1558" spans="1:6" ht="28.8" x14ac:dyDescent="0.3">
      <c r="A1558" s="2">
        <v>1557</v>
      </c>
      <c r="B1558" s="1" t="s">
        <v>3290</v>
      </c>
      <c r="C1558" s="1" t="s">
        <v>3167</v>
      </c>
      <c r="D1558" s="1" t="s">
        <v>3168</v>
      </c>
      <c r="E1558" s="1" t="s">
        <v>3291</v>
      </c>
      <c r="F1558" s="1" t="str">
        <f>HYPERLINK("https://talan.bank.gov.ua/get-user-certificate/J5325yhk5nFqvdTNgVEJ","Завантажити сертифікат")</f>
        <v>Завантажити сертифікат</v>
      </c>
    </row>
    <row r="1559" spans="1:6" ht="28.8" x14ac:dyDescent="0.3">
      <c r="A1559" s="2">
        <v>1558</v>
      </c>
      <c r="B1559" s="1" t="s">
        <v>3292</v>
      </c>
      <c r="C1559" s="1" t="s">
        <v>3167</v>
      </c>
      <c r="D1559" s="1" t="s">
        <v>3168</v>
      </c>
      <c r="E1559" s="1" t="s">
        <v>3293</v>
      </c>
      <c r="F1559" s="1" t="str">
        <f>HYPERLINK("https://talan.bank.gov.ua/get-user-certificate/J53256OXZEGKRTUzI5HJ","Завантажити сертифікат")</f>
        <v>Завантажити сертифікат</v>
      </c>
    </row>
    <row r="1560" spans="1:6" ht="28.8" x14ac:dyDescent="0.3">
      <c r="A1560" s="2">
        <v>1559</v>
      </c>
      <c r="B1560" s="1" t="s">
        <v>3294</v>
      </c>
      <c r="C1560" s="1" t="s">
        <v>3167</v>
      </c>
      <c r="D1560" s="1" t="s">
        <v>3168</v>
      </c>
      <c r="E1560" s="1" t="s">
        <v>3295</v>
      </c>
      <c r="F1560" s="1" t="str">
        <f>HYPERLINK("https://talan.bank.gov.ua/get-user-certificate/J5325lQUOH4M2aCMRqHG","Завантажити сертифікат")</f>
        <v>Завантажити сертифікат</v>
      </c>
    </row>
    <row r="1561" spans="1:6" ht="28.8" x14ac:dyDescent="0.3">
      <c r="A1561" s="2">
        <v>1560</v>
      </c>
      <c r="B1561" s="1" t="s">
        <v>3296</v>
      </c>
      <c r="C1561" s="1" t="s">
        <v>3167</v>
      </c>
      <c r="D1561" s="1" t="s">
        <v>3168</v>
      </c>
      <c r="E1561" s="1" t="s">
        <v>3297</v>
      </c>
      <c r="F1561" s="1" t="str">
        <f>HYPERLINK("https://talan.bank.gov.ua/get-user-certificate/J5325rwGTD636J5P_wJO","Завантажити сертифікат")</f>
        <v>Завантажити сертифікат</v>
      </c>
    </row>
    <row r="1562" spans="1:6" ht="28.8" x14ac:dyDescent="0.3">
      <c r="A1562" s="2">
        <v>1561</v>
      </c>
      <c r="B1562" s="1" t="s">
        <v>3298</v>
      </c>
      <c r="C1562" s="1" t="s">
        <v>3167</v>
      </c>
      <c r="D1562" s="1" t="s">
        <v>3168</v>
      </c>
      <c r="E1562" s="1" t="s">
        <v>3299</v>
      </c>
      <c r="F1562" s="1" t="str">
        <f>HYPERLINK("https://talan.bank.gov.ua/get-user-certificate/J5325s9lJPyohSxJu9ms","Завантажити сертифікат")</f>
        <v>Завантажити сертифікат</v>
      </c>
    </row>
    <row r="1563" spans="1:6" ht="28.8" x14ac:dyDescent="0.3">
      <c r="A1563" s="2">
        <v>1562</v>
      </c>
      <c r="B1563" s="1" t="s">
        <v>3300</v>
      </c>
      <c r="C1563" s="1" t="s">
        <v>3167</v>
      </c>
      <c r="D1563" s="1" t="s">
        <v>3168</v>
      </c>
      <c r="E1563" s="1" t="s">
        <v>3301</v>
      </c>
      <c r="F1563" s="1" t="str">
        <f>HYPERLINK("https://talan.bank.gov.ua/get-user-certificate/J5325q3Wu_G6aSphQ0xv","Завантажити сертифікат")</f>
        <v>Завантажити сертифікат</v>
      </c>
    </row>
    <row r="1564" spans="1:6" ht="28.8" x14ac:dyDescent="0.3">
      <c r="A1564" s="2">
        <v>1563</v>
      </c>
      <c r="B1564" s="1" t="s">
        <v>3302</v>
      </c>
      <c r="C1564" s="1" t="s">
        <v>3167</v>
      </c>
      <c r="D1564" s="1" t="s">
        <v>3168</v>
      </c>
      <c r="E1564" s="1" t="s">
        <v>3303</v>
      </c>
      <c r="F1564" s="1" t="str">
        <f>HYPERLINK("https://talan.bank.gov.ua/get-user-certificate/J5325HGV10qT5CEfOAFD","Завантажити сертифікат")</f>
        <v>Завантажити сертифікат</v>
      </c>
    </row>
    <row r="1565" spans="1:6" ht="28.8" x14ac:dyDescent="0.3">
      <c r="A1565" s="2">
        <v>1564</v>
      </c>
      <c r="B1565" s="1" t="s">
        <v>3304</v>
      </c>
      <c r="C1565" s="1" t="s">
        <v>3167</v>
      </c>
      <c r="D1565" s="1" t="s">
        <v>3168</v>
      </c>
      <c r="E1565" s="1" t="s">
        <v>3305</v>
      </c>
      <c r="F1565" s="1" t="str">
        <f>HYPERLINK("https://talan.bank.gov.ua/get-user-certificate/J5325fumdhT7xgwyJpqI","Завантажити сертифікат")</f>
        <v>Завантажити сертифікат</v>
      </c>
    </row>
    <row r="1566" spans="1:6" ht="28.8" x14ac:dyDescent="0.3">
      <c r="A1566" s="2">
        <v>1565</v>
      </c>
      <c r="B1566" s="1" t="s">
        <v>3306</v>
      </c>
      <c r="C1566" s="1" t="s">
        <v>3167</v>
      </c>
      <c r="D1566" s="1" t="s">
        <v>3168</v>
      </c>
      <c r="E1566" s="1" t="s">
        <v>3307</v>
      </c>
      <c r="F1566" s="1" t="str">
        <f>HYPERLINK("https://talan.bank.gov.ua/get-user-certificate/J5325lkjpupdE6yw2Bby","Завантажити сертифікат")</f>
        <v>Завантажити сертифікат</v>
      </c>
    </row>
    <row r="1567" spans="1:6" ht="28.8" x14ac:dyDescent="0.3">
      <c r="A1567" s="2">
        <v>1566</v>
      </c>
      <c r="B1567" s="1" t="s">
        <v>3308</v>
      </c>
      <c r="C1567" s="1" t="s">
        <v>3167</v>
      </c>
      <c r="D1567" s="1" t="s">
        <v>3168</v>
      </c>
      <c r="E1567" s="1" t="s">
        <v>3309</v>
      </c>
      <c r="F1567" s="1" t="str">
        <f>HYPERLINK("https://talan.bank.gov.ua/get-user-certificate/J53255oi7U6BEnKFI4r1","Завантажити сертифікат")</f>
        <v>Завантажити сертифікат</v>
      </c>
    </row>
    <row r="1568" spans="1:6" ht="28.8" x14ac:dyDescent="0.3">
      <c r="A1568" s="2">
        <v>1567</v>
      </c>
      <c r="B1568" s="1" t="s">
        <v>3310</v>
      </c>
      <c r="C1568" s="1" t="s">
        <v>3167</v>
      </c>
      <c r="D1568" s="1" t="s">
        <v>3168</v>
      </c>
      <c r="E1568" s="1" t="s">
        <v>3311</v>
      </c>
      <c r="F1568" s="1" t="str">
        <f>HYPERLINK("https://talan.bank.gov.ua/get-user-certificate/J5325eVS9jPLN1OGcC55","Завантажити сертифікат")</f>
        <v>Завантажити сертифікат</v>
      </c>
    </row>
    <row r="1569" spans="1:6" ht="28.8" x14ac:dyDescent="0.3">
      <c r="A1569" s="2">
        <v>1568</v>
      </c>
      <c r="B1569" s="1" t="s">
        <v>3312</v>
      </c>
      <c r="C1569" s="1" t="s">
        <v>3167</v>
      </c>
      <c r="D1569" s="1" t="s">
        <v>3168</v>
      </c>
      <c r="E1569" s="1" t="s">
        <v>3313</v>
      </c>
      <c r="F1569" s="1" t="str">
        <f>HYPERLINK("https://talan.bank.gov.ua/get-user-certificate/J53254FmEHeKsJrOjZKF","Завантажити сертифікат")</f>
        <v>Завантажити сертифікат</v>
      </c>
    </row>
    <row r="1570" spans="1:6" ht="28.8" x14ac:dyDescent="0.3">
      <c r="A1570" s="2">
        <v>1569</v>
      </c>
      <c r="B1570" s="1" t="s">
        <v>3314</v>
      </c>
      <c r="C1570" s="1" t="s">
        <v>3167</v>
      </c>
      <c r="D1570" s="1" t="s">
        <v>3168</v>
      </c>
      <c r="E1570" s="1" t="s">
        <v>3315</v>
      </c>
      <c r="F1570" s="1" t="str">
        <f>HYPERLINK("https://talan.bank.gov.ua/get-user-certificate/J53255ik_brWK6n5GFog","Завантажити сертифікат")</f>
        <v>Завантажити сертифікат</v>
      </c>
    </row>
    <row r="1571" spans="1:6" ht="28.8" x14ac:dyDescent="0.3">
      <c r="A1571" s="2">
        <v>1570</v>
      </c>
      <c r="B1571" s="1" t="s">
        <v>3316</v>
      </c>
      <c r="C1571" s="1" t="s">
        <v>3167</v>
      </c>
      <c r="D1571" s="1" t="s">
        <v>3168</v>
      </c>
      <c r="E1571" s="1" t="s">
        <v>3317</v>
      </c>
      <c r="F1571" s="1" t="str">
        <f>HYPERLINK("https://talan.bank.gov.ua/get-user-certificate/J53258oBKL8828Ko0j_7","Завантажити сертифікат")</f>
        <v>Завантажити сертифікат</v>
      </c>
    </row>
    <row r="1572" spans="1:6" ht="28.8" x14ac:dyDescent="0.3">
      <c r="A1572" s="2">
        <v>1571</v>
      </c>
      <c r="B1572" s="1" t="s">
        <v>3318</v>
      </c>
      <c r="C1572" s="1" t="s">
        <v>3167</v>
      </c>
      <c r="D1572" s="1" t="s">
        <v>3168</v>
      </c>
      <c r="E1572" s="1" t="s">
        <v>3319</v>
      </c>
      <c r="F1572" s="1" t="str">
        <f>HYPERLINK("https://talan.bank.gov.ua/get-user-certificate/J5325XlGSMnwTdWL-0Oi","Завантажити сертифікат")</f>
        <v>Завантажити сертифікат</v>
      </c>
    </row>
    <row r="1573" spans="1:6" ht="28.8" x14ac:dyDescent="0.3">
      <c r="A1573" s="2">
        <v>1572</v>
      </c>
      <c r="B1573" s="1" t="s">
        <v>3320</v>
      </c>
      <c r="C1573" s="1" t="s">
        <v>3167</v>
      </c>
      <c r="D1573" s="1" t="s">
        <v>3168</v>
      </c>
      <c r="E1573" s="1" t="s">
        <v>3321</v>
      </c>
      <c r="F1573" s="1" t="str">
        <f>HYPERLINK("https://talan.bank.gov.ua/get-user-certificate/J5325WC9excF1wbA1wM3","Завантажити сертифікат")</f>
        <v>Завантажити сертифікат</v>
      </c>
    </row>
    <row r="1574" spans="1:6" ht="28.8" x14ac:dyDescent="0.3">
      <c r="A1574" s="2">
        <v>1573</v>
      </c>
      <c r="B1574" s="1" t="s">
        <v>3322</v>
      </c>
      <c r="C1574" s="1" t="s">
        <v>3167</v>
      </c>
      <c r="D1574" s="1" t="s">
        <v>3168</v>
      </c>
      <c r="E1574" s="1" t="s">
        <v>3323</v>
      </c>
      <c r="F1574" s="1" t="str">
        <f>HYPERLINK("https://talan.bank.gov.ua/get-user-certificate/J5325-z1d6AXc-juHRyD","Завантажити сертифікат")</f>
        <v>Завантажити сертифікат</v>
      </c>
    </row>
    <row r="1575" spans="1:6" ht="28.8" x14ac:dyDescent="0.3">
      <c r="A1575" s="2">
        <v>1574</v>
      </c>
      <c r="B1575" s="1" t="s">
        <v>3324</v>
      </c>
      <c r="C1575" s="1" t="s">
        <v>3167</v>
      </c>
      <c r="D1575" s="1" t="s">
        <v>3168</v>
      </c>
      <c r="E1575" s="1" t="s">
        <v>3325</v>
      </c>
      <c r="F1575" s="1" t="str">
        <f>HYPERLINK("https://talan.bank.gov.ua/get-user-certificate/J5325ikluWPzdi1aeEiv","Завантажити сертифікат")</f>
        <v>Завантажити сертифікат</v>
      </c>
    </row>
    <row r="1576" spans="1:6" ht="28.8" x14ac:dyDescent="0.3">
      <c r="A1576" s="2">
        <v>1575</v>
      </c>
      <c r="B1576" s="1" t="s">
        <v>3326</v>
      </c>
      <c r="C1576" s="1" t="s">
        <v>3167</v>
      </c>
      <c r="D1576" s="1" t="s">
        <v>3168</v>
      </c>
      <c r="E1576" s="1" t="s">
        <v>3327</v>
      </c>
      <c r="F1576" s="1" t="str">
        <f>HYPERLINK("https://talan.bank.gov.ua/get-user-certificate/J5325wd32FbluigWQQj9","Завантажити сертифікат")</f>
        <v>Завантажити сертифікат</v>
      </c>
    </row>
    <row r="1577" spans="1:6" ht="28.8" x14ac:dyDescent="0.3">
      <c r="A1577" s="2">
        <v>1576</v>
      </c>
      <c r="B1577" s="1" t="s">
        <v>3328</v>
      </c>
      <c r="C1577" s="1" t="s">
        <v>3167</v>
      </c>
      <c r="D1577" s="1" t="s">
        <v>3168</v>
      </c>
      <c r="E1577" s="1" t="s">
        <v>3329</v>
      </c>
      <c r="F1577" s="1" t="str">
        <f>HYPERLINK("https://talan.bank.gov.ua/get-user-certificate/J53255G2J5EiCLuoE9k9","Завантажити сертифікат")</f>
        <v>Завантажити сертифікат</v>
      </c>
    </row>
    <row r="1578" spans="1:6" ht="28.8" x14ac:dyDescent="0.3">
      <c r="A1578" s="2">
        <v>1577</v>
      </c>
      <c r="B1578" s="1" t="s">
        <v>3330</v>
      </c>
      <c r="C1578" s="1" t="s">
        <v>3167</v>
      </c>
      <c r="D1578" s="1" t="s">
        <v>3168</v>
      </c>
      <c r="E1578" s="1" t="s">
        <v>3331</v>
      </c>
      <c r="F1578" s="1" t="str">
        <f>HYPERLINK("https://talan.bank.gov.ua/get-user-certificate/J5325l9cCuX49iFIQxu5","Завантажити сертифікат")</f>
        <v>Завантажити сертифікат</v>
      </c>
    </row>
    <row r="1579" spans="1:6" ht="28.8" x14ac:dyDescent="0.3">
      <c r="A1579" s="2">
        <v>1578</v>
      </c>
      <c r="B1579" s="1" t="s">
        <v>3332</v>
      </c>
      <c r="C1579" s="1" t="s">
        <v>3167</v>
      </c>
      <c r="D1579" s="1" t="s">
        <v>3168</v>
      </c>
      <c r="E1579" s="1" t="s">
        <v>3333</v>
      </c>
      <c r="F1579" s="1" t="str">
        <f>HYPERLINK("https://talan.bank.gov.ua/get-user-certificate/J5325nPEgmEFyPzqbSoB","Завантажити сертифікат")</f>
        <v>Завантажити сертифікат</v>
      </c>
    </row>
    <row r="1580" spans="1:6" ht="28.8" x14ac:dyDescent="0.3">
      <c r="A1580" s="2">
        <v>1579</v>
      </c>
      <c r="B1580" s="1" t="s">
        <v>3334</v>
      </c>
      <c r="C1580" s="1" t="s">
        <v>3167</v>
      </c>
      <c r="D1580" s="1" t="s">
        <v>3168</v>
      </c>
      <c r="E1580" s="1" t="s">
        <v>3335</v>
      </c>
      <c r="F1580" s="1" t="str">
        <f>HYPERLINK("https://talan.bank.gov.ua/get-user-certificate/J53252HlHVMh7ujxRjyH","Завантажити сертифікат")</f>
        <v>Завантажити сертифікат</v>
      </c>
    </row>
    <row r="1581" spans="1:6" ht="28.8" x14ac:dyDescent="0.3">
      <c r="A1581" s="2">
        <v>1580</v>
      </c>
      <c r="B1581" s="1" t="s">
        <v>3336</v>
      </c>
      <c r="C1581" s="1" t="s">
        <v>3337</v>
      </c>
      <c r="D1581" s="1" t="s">
        <v>3338</v>
      </c>
      <c r="E1581" s="1" t="s">
        <v>3339</v>
      </c>
      <c r="F1581" s="1" t="str">
        <f>HYPERLINK("https://talan.bank.gov.ua/get-user-certificate/J5325WlM7qjmZMjXtNJd","Завантажити сертифікат")</f>
        <v>Завантажити сертифікат</v>
      </c>
    </row>
    <row r="1582" spans="1:6" ht="28.8" x14ac:dyDescent="0.3">
      <c r="A1582" s="2">
        <v>1581</v>
      </c>
      <c r="B1582" s="1" t="s">
        <v>3340</v>
      </c>
      <c r="C1582" s="1" t="s">
        <v>3337</v>
      </c>
      <c r="D1582" s="1" t="s">
        <v>3338</v>
      </c>
      <c r="E1582" s="1" t="s">
        <v>3341</v>
      </c>
      <c r="F1582" s="1" t="str">
        <f>HYPERLINK("https://talan.bank.gov.ua/get-user-certificate/J5325AGFl7CCe4VK7D8t","Завантажити сертифікат")</f>
        <v>Завантажити сертифікат</v>
      </c>
    </row>
    <row r="1583" spans="1:6" ht="28.8" x14ac:dyDescent="0.3">
      <c r="A1583" s="2">
        <v>1582</v>
      </c>
      <c r="B1583" s="1" t="s">
        <v>3342</v>
      </c>
      <c r="C1583" s="1" t="s">
        <v>3337</v>
      </c>
      <c r="D1583" s="1" t="s">
        <v>3338</v>
      </c>
      <c r="E1583" s="1" t="s">
        <v>3343</v>
      </c>
      <c r="F1583" s="1" t="str">
        <f>HYPERLINK("https://talan.bank.gov.ua/get-user-certificate/J5325Fi84X4qqH-dyYUB","Завантажити сертифікат")</f>
        <v>Завантажити сертифікат</v>
      </c>
    </row>
    <row r="1584" spans="1:6" ht="28.8" x14ac:dyDescent="0.3">
      <c r="A1584" s="2">
        <v>1583</v>
      </c>
      <c r="B1584" s="1" t="s">
        <v>3344</v>
      </c>
      <c r="C1584" s="1" t="s">
        <v>3337</v>
      </c>
      <c r="D1584" s="1" t="s">
        <v>3338</v>
      </c>
      <c r="E1584" s="1" t="s">
        <v>3345</v>
      </c>
      <c r="F1584" s="1" t="str">
        <f>HYPERLINK("https://talan.bank.gov.ua/get-user-certificate/J5325hDaXZ_miF2UAWf9","Завантажити сертифікат")</f>
        <v>Завантажити сертифікат</v>
      </c>
    </row>
    <row r="1585" spans="1:6" ht="28.8" x14ac:dyDescent="0.3">
      <c r="A1585" s="2">
        <v>1584</v>
      </c>
      <c r="B1585" s="1" t="s">
        <v>3346</v>
      </c>
      <c r="C1585" s="1" t="s">
        <v>3337</v>
      </c>
      <c r="D1585" s="1" t="s">
        <v>3338</v>
      </c>
      <c r="E1585" s="1" t="s">
        <v>3347</v>
      </c>
      <c r="F1585" s="1" t="str">
        <f>HYPERLINK("https://talan.bank.gov.ua/get-user-certificate/J5325TeHbgVEz8z93XMl","Завантажити сертифікат")</f>
        <v>Завантажити сертифікат</v>
      </c>
    </row>
    <row r="1586" spans="1:6" ht="28.8" x14ac:dyDescent="0.3">
      <c r="A1586" s="2">
        <v>1585</v>
      </c>
      <c r="B1586" s="1" t="s">
        <v>3348</v>
      </c>
      <c r="C1586" s="1" t="s">
        <v>3337</v>
      </c>
      <c r="D1586" s="1" t="s">
        <v>3338</v>
      </c>
      <c r="E1586" s="1" t="s">
        <v>3349</v>
      </c>
      <c r="F1586" s="1" t="str">
        <f>HYPERLINK("https://talan.bank.gov.ua/get-user-certificate/J5325OyH2ZR6rFwbmzjM","Завантажити сертифікат")</f>
        <v>Завантажити сертифікат</v>
      </c>
    </row>
    <row r="1587" spans="1:6" ht="28.8" x14ac:dyDescent="0.3">
      <c r="A1587" s="2">
        <v>1586</v>
      </c>
      <c r="B1587" s="1" t="s">
        <v>3350</v>
      </c>
      <c r="C1587" s="1" t="s">
        <v>3337</v>
      </c>
      <c r="D1587" s="1" t="s">
        <v>3338</v>
      </c>
      <c r="E1587" s="1" t="s">
        <v>3351</v>
      </c>
      <c r="F1587" s="1" t="str">
        <f>HYPERLINK("https://talan.bank.gov.ua/get-user-certificate/J5325B910VvkrERxz65_","Завантажити сертифікат")</f>
        <v>Завантажити сертифікат</v>
      </c>
    </row>
    <row r="1588" spans="1:6" ht="28.8" x14ac:dyDescent="0.3">
      <c r="A1588" s="2">
        <v>1587</v>
      </c>
      <c r="B1588" s="1" t="s">
        <v>3352</v>
      </c>
      <c r="C1588" s="1" t="s">
        <v>3337</v>
      </c>
      <c r="D1588" s="1" t="s">
        <v>3338</v>
      </c>
      <c r="E1588" s="1" t="s">
        <v>3353</v>
      </c>
      <c r="F1588" s="1" t="str">
        <f>HYPERLINK("https://talan.bank.gov.ua/get-user-certificate/J5325Vj17sfMyVBSWWpe","Завантажити сертифікат")</f>
        <v>Завантажити сертифікат</v>
      </c>
    </row>
    <row r="1589" spans="1:6" ht="28.8" x14ac:dyDescent="0.3">
      <c r="A1589" s="2">
        <v>1588</v>
      </c>
      <c r="B1589" s="1" t="s">
        <v>3354</v>
      </c>
      <c r="C1589" s="1" t="s">
        <v>3337</v>
      </c>
      <c r="D1589" s="1" t="s">
        <v>3338</v>
      </c>
      <c r="E1589" s="1" t="s">
        <v>3355</v>
      </c>
      <c r="F1589" s="1" t="str">
        <f>HYPERLINK("https://talan.bank.gov.ua/get-user-certificate/J5325vo-Ud_PYa7q1NnZ","Завантажити сертифікат")</f>
        <v>Завантажити сертифікат</v>
      </c>
    </row>
    <row r="1590" spans="1:6" ht="28.8" x14ac:dyDescent="0.3">
      <c r="A1590" s="2">
        <v>1589</v>
      </c>
      <c r="B1590" s="1" t="s">
        <v>3356</v>
      </c>
      <c r="C1590" s="1" t="s">
        <v>3337</v>
      </c>
      <c r="D1590" s="1" t="s">
        <v>3338</v>
      </c>
      <c r="E1590" s="1" t="s">
        <v>3357</v>
      </c>
      <c r="F1590" s="1" t="str">
        <f>HYPERLINK("https://talan.bank.gov.ua/get-user-certificate/J5325bMnuAMNt-2MJKVI","Завантажити сертифікат")</f>
        <v>Завантажити сертифікат</v>
      </c>
    </row>
    <row r="1591" spans="1:6" ht="28.8" x14ac:dyDescent="0.3">
      <c r="A1591" s="2">
        <v>1590</v>
      </c>
      <c r="B1591" s="1" t="s">
        <v>3358</v>
      </c>
      <c r="C1591" s="1" t="s">
        <v>3337</v>
      </c>
      <c r="D1591" s="1" t="s">
        <v>3338</v>
      </c>
      <c r="E1591" s="1" t="s">
        <v>3359</v>
      </c>
      <c r="F1591" s="1" t="str">
        <f>HYPERLINK("https://talan.bank.gov.ua/get-user-certificate/J53259tWgq4XOFygVbii","Завантажити сертифікат")</f>
        <v>Завантажити сертифікат</v>
      </c>
    </row>
    <row r="1592" spans="1:6" ht="28.8" x14ac:dyDescent="0.3">
      <c r="A1592" s="2">
        <v>1591</v>
      </c>
      <c r="B1592" s="1" t="s">
        <v>3360</v>
      </c>
      <c r="C1592" s="1" t="s">
        <v>3337</v>
      </c>
      <c r="D1592" s="1" t="s">
        <v>3338</v>
      </c>
      <c r="E1592" s="1" t="s">
        <v>3361</v>
      </c>
      <c r="F1592" s="1" t="str">
        <f>HYPERLINK("https://talan.bank.gov.ua/get-user-certificate/J5325syydeqYJsinHplt","Завантажити сертифікат")</f>
        <v>Завантажити сертифікат</v>
      </c>
    </row>
    <row r="1593" spans="1:6" ht="28.8" x14ac:dyDescent="0.3">
      <c r="A1593" s="2">
        <v>1592</v>
      </c>
      <c r="B1593" s="1" t="s">
        <v>3362</v>
      </c>
      <c r="C1593" s="1" t="s">
        <v>3337</v>
      </c>
      <c r="D1593" s="1" t="s">
        <v>3338</v>
      </c>
      <c r="E1593" s="1" t="s">
        <v>3363</v>
      </c>
      <c r="F1593" s="1" t="str">
        <f>HYPERLINK("https://talan.bank.gov.ua/get-user-certificate/J53258BV7qyU82Tmt0SA","Завантажити сертифікат")</f>
        <v>Завантажити сертифікат</v>
      </c>
    </row>
    <row r="1594" spans="1:6" ht="28.8" x14ac:dyDescent="0.3">
      <c r="A1594" s="2">
        <v>1593</v>
      </c>
      <c r="B1594" s="1" t="s">
        <v>3364</v>
      </c>
      <c r="C1594" s="1" t="s">
        <v>3337</v>
      </c>
      <c r="D1594" s="1" t="s">
        <v>3338</v>
      </c>
      <c r="E1594" s="1" t="s">
        <v>3365</v>
      </c>
      <c r="F1594" s="1" t="str">
        <f>HYPERLINK("https://talan.bank.gov.ua/get-user-certificate/J5325YVyQVkcwhqaFX7W","Завантажити сертифікат")</f>
        <v>Завантажити сертифікат</v>
      </c>
    </row>
    <row r="1595" spans="1:6" ht="28.8" x14ac:dyDescent="0.3">
      <c r="A1595" s="2">
        <v>1594</v>
      </c>
      <c r="B1595" s="1" t="s">
        <v>3366</v>
      </c>
      <c r="C1595" s="1" t="s">
        <v>3337</v>
      </c>
      <c r="D1595" s="1" t="s">
        <v>3338</v>
      </c>
      <c r="E1595" s="1" t="s">
        <v>3367</v>
      </c>
      <c r="F1595" s="1" t="str">
        <f>HYPERLINK("https://talan.bank.gov.ua/get-user-certificate/J5325gJRS3dBfGj5hYZq","Завантажити сертифікат")</f>
        <v>Завантажити сертифікат</v>
      </c>
    </row>
    <row r="1596" spans="1:6" ht="28.8" x14ac:dyDescent="0.3">
      <c r="A1596" s="2">
        <v>1595</v>
      </c>
      <c r="B1596" s="1" t="s">
        <v>3368</v>
      </c>
      <c r="C1596" s="1" t="s">
        <v>3337</v>
      </c>
      <c r="D1596" s="1" t="s">
        <v>3338</v>
      </c>
      <c r="E1596" s="1" t="s">
        <v>3369</v>
      </c>
      <c r="F1596" s="1" t="str">
        <f>HYPERLINK("https://talan.bank.gov.ua/get-user-certificate/J5325cKKyyQovUBuQzrd","Завантажити сертифікат")</f>
        <v>Завантажити сертифікат</v>
      </c>
    </row>
    <row r="1597" spans="1:6" ht="28.8" x14ac:dyDescent="0.3">
      <c r="A1597" s="2">
        <v>1596</v>
      </c>
      <c r="B1597" s="1" t="s">
        <v>3370</v>
      </c>
      <c r="C1597" s="1" t="s">
        <v>3337</v>
      </c>
      <c r="D1597" s="1" t="s">
        <v>3338</v>
      </c>
      <c r="E1597" s="1" t="s">
        <v>3371</v>
      </c>
      <c r="F1597" s="1" t="str">
        <f>HYPERLINK("https://talan.bank.gov.ua/get-user-certificate/J5325Uk8m_xSO22rhLxi","Завантажити сертифікат")</f>
        <v>Завантажити сертифікат</v>
      </c>
    </row>
    <row r="1598" spans="1:6" ht="28.8" x14ac:dyDescent="0.3">
      <c r="A1598" s="2">
        <v>1597</v>
      </c>
      <c r="B1598" s="1" t="s">
        <v>3372</v>
      </c>
      <c r="C1598" s="1" t="s">
        <v>3337</v>
      </c>
      <c r="D1598" s="1" t="s">
        <v>3338</v>
      </c>
      <c r="E1598" s="1" t="s">
        <v>3373</v>
      </c>
      <c r="F1598" s="1" t="str">
        <f>HYPERLINK("https://talan.bank.gov.ua/get-user-certificate/J5325BuEHudDZ2DfAaEw","Завантажити сертифікат")</f>
        <v>Завантажити сертифікат</v>
      </c>
    </row>
    <row r="1599" spans="1:6" ht="28.8" x14ac:dyDescent="0.3">
      <c r="A1599" s="2">
        <v>1598</v>
      </c>
      <c r="B1599" s="1" t="s">
        <v>3374</v>
      </c>
      <c r="C1599" s="1" t="s">
        <v>3337</v>
      </c>
      <c r="D1599" s="1" t="s">
        <v>3338</v>
      </c>
      <c r="E1599" s="1" t="s">
        <v>3375</v>
      </c>
      <c r="F1599" s="1" t="str">
        <f>HYPERLINK("https://talan.bank.gov.ua/get-user-certificate/J5325txiThZ5G8FhHNSK","Завантажити сертифікат")</f>
        <v>Завантажити сертифікат</v>
      </c>
    </row>
    <row r="1600" spans="1:6" ht="28.8" x14ac:dyDescent="0.3">
      <c r="A1600" s="2">
        <v>1599</v>
      </c>
      <c r="B1600" s="1" t="s">
        <v>3376</v>
      </c>
      <c r="C1600" s="1" t="s">
        <v>3337</v>
      </c>
      <c r="D1600" s="1" t="s">
        <v>3338</v>
      </c>
      <c r="E1600" s="1" t="s">
        <v>3377</v>
      </c>
      <c r="F1600" s="1" t="str">
        <f>HYPERLINK("https://talan.bank.gov.ua/get-user-certificate/J5325mJOSkT9Moih20az","Завантажити сертифікат")</f>
        <v>Завантажити сертифікат</v>
      </c>
    </row>
    <row r="1601" spans="1:6" ht="28.8" x14ac:dyDescent="0.3">
      <c r="A1601" s="2">
        <v>1600</v>
      </c>
      <c r="B1601" s="1" t="s">
        <v>3378</v>
      </c>
      <c r="C1601" s="1" t="s">
        <v>3337</v>
      </c>
      <c r="D1601" s="1" t="s">
        <v>3338</v>
      </c>
      <c r="E1601" s="1" t="s">
        <v>3379</v>
      </c>
      <c r="F1601" s="1" t="str">
        <f>HYPERLINK("https://talan.bank.gov.ua/get-user-certificate/J5325gfLbru5Uu_xZ9re","Завантажити сертифікат")</f>
        <v>Завантажити сертифікат</v>
      </c>
    </row>
    <row r="1602" spans="1:6" ht="28.8" x14ac:dyDescent="0.3">
      <c r="A1602" s="2">
        <v>1601</v>
      </c>
      <c r="B1602" s="1" t="s">
        <v>3380</v>
      </c>
      <c r="C1602" s="1" t="s">
        <v>3337</v>
      </c>
      <c r="D1602" s="1" t="s">
        <v>3338</v>
      </c>
      <c r="E1602" s="1" t="s">
        <v>3381</v>
      </c>
      <c r="F1602" s="1" t="str">
        <f>HYPERLINK("https://talan.bank.gov.ua/get-user-certificate/J5325hmvS68-1FzqAbgE","Завантажити сертифікат")</f>
        <v>Завантажити сертифікат</v>
      </c>
    </row>
    <row r="1603" spans="1:6" ht="28.8" x14ac:dyDescent="0.3">
      <c r="A1603" s="2">
        <v>1602</v>
      </c>
      <c r="B1603" s="1" t="s">
        <v>3382</v>
      </c>
      <c r="C1603" s="1" t="s">
        <v>3337</v>
      </c>
      <c r="D1603" s="1" t="s">
        <v>3338</v>
      </c>
      <c r="E1603" s="1" t="s">
        <v>3383</v>
      </c>
      <c r="F1603" s="1" t="str">
        <f>HYPERLINK("https://talan.bank.gov.ua/get-user-certificate/J5325P9tkTcwKZvNe8VT","Завантажити сертифікат")</f>
        <v>Завантажити сертифікат</v>
      </c>
    </row>
    <row r="1604" spans="1:6" ht="28.8" x14ac:dyDescent="0.3">
      <c r="A1604" s="2">
        <v>1603</v>
      </c>
      <c r="B1604" s="1" t="s">
        <v>3384</v>
      </c>
      <c r="C1604" s="1" t="s">
        <v>3337</v>
      </c>
      <c r="D1604" s="1" t="s">
        <v>3338</v>
      </c>
      <c r="E1604" s="1" t="s">
        <v>3385</v>
      </c>
      <c r="F1604" s="1" t="str">
        <f>HYPERLINK("https://talan.bank.gov.ua/get-user-certificate/J5325OaKNmFdoEXdqs8J","Завантажити сертифікат")</f>
        <v>Завантажити сертифікат</v>
      </c>
    </row>
    <row r="1605" spans="1:6" ht="28.8" x14ac:dyDescent="0.3">
      <c r="A1605" s="2">
        <v>1604</v>
      </c>
      <c r="B1605" s="1" t="s">
        <v>3386</v>
      </c>
      <c r="C1605" s="1" t="s">
        <v>3337</v>
      </c>
      <c r="D1605" s="1" t="s">
        <v>3338</v>
      </c>
      <c r="E1605" s="1" t="s">
        <v>3387</v>
      </c>
      <c r="F1605" s="1" t="str">
        <f>HYPERLINK("https://talan.bank.gov.ua/get-user-certificate/J5325Mm6azcxH43De6cg","Завантажити сертифікат")</f>
        <v>Завантажити сертифікат</v>
      </c>
    </row>
    <row r="1606" spans="1:6" ht="28.8" x14ac:dyDescent="0.3">
      <c r="A1606" s="2">
        <v>1605</v>
      </c>
      <c r="B1606" s="1" t="s">
        <v>3388</v>
      </c>
      <c r="C1606" s="1" t="s">
        <v>3337</v>
      </c>
      <c r="D1606" s="1" t="s">
        <v>3338</v>
      </c>
      <c r="E1606" s="1" t="s">
        <v>3389</v>
      </c>
      <c r="F1606" s="1" t="str">
        <f>HYPERLINK("https://talan.bank.gov.ua/get-user-certificate/J5325nE_lGDhCkJDGE_G","Завантажити сертифікат")</f>
        <v>Завантажити сертифікат</v>
      </c>
    </row>
    <row r="1607" spans="1:6" ht="28.8" x14ac:dyDescent="0.3">
      <c r="A1607" s="2">
        <v>1606</v>
      </c>
      <c r="B1607" s="1" t="s">
        <v>3390</v>
      </c>
      <c r="C1607" s="1" t="s">
        <v>3337</v>
      </c>
      <c r="D1607" s="1" t="s">
        <v>3338</v>
      </c>
      <c r="E1607" s="1" t="s">
        <v>3391</v>
      </c>
      <c r="F1607" s="1" t="str">
        <f>HYPERLINK("https://talan.bank.gov.ua/get-user-certificate/J5325dSIDuUdA9nlsqFu","Завантажити сертифікат")</f>
        <v>Завантажити сертифікат</v>
      </c>
    </row>
    <row r="1608" spans="1:6" ht="28.8" x14ac:dyDescent="0.3">
      <c r="A1608" s="2">
        <v>1607</v>
      </c>
      <c r="B1608" s="1" t="s">
        <v>3392</v>
      </c>
      <c r="C1608" s="1" t="s">
        <v>3393</v>
      </c>
      <c r="D1608" s="1" t="s">
        <v>3394</v>
      </c>
      <c r="E1608" s="1" t="s">
        <v>3395</v>
      </c>
      <c r="F1608" s="1" t="str">
        <f>HYPERLINK("https://talan.bank.gov.ua/get-user-certificate/J5325sycNIZt-KAQHsN_","Завантажити сертифікат")</f>
        <v>Завантажити сертифікат</v>
      </c>
    </row>
    <row r="1609" spans="1:6" ht="28.8" x14ac:dyDescent="0.3">
      <c r="A1609" s="2">
        <v>1608</v>
      </c>
      <c r="B1609" s="1" t="s">
        <v>3396</v>
      </c>
      <c r="C1609" s="1" t="s">
        <v>3393</v>
      </c>
      <c r="D1609" s="1" t="s">
        <v>3394</v>
      </c>
      <c r="E1609" s="1" t="s">
        <v>3397</v>
      </c>
      <c r="F1609" s="1" t="str">
        <f>HYPERLINK("https://talan.bank.gov.ua/get-user-certificate/J5325eIyluPb6y0WGcOE","Завантажити сертифікат")</f>
        <v>Завантажити сертифікат</v>
      </c>
    </row>
    <row r="1610" spans="1:6" ht="28.8" x14ac:dyDescent="0.3">
      <c r="A1610" s="2">
        <v>1609</v>
      </c>
      <c r="B1610" s="1" t="s">
        <v>3398</v>
      </c>
      <c r="C1610" s="1" t="s">
        <v>3399</v>
      </c>
      <c r="D1610" s="1" t="s">
        <v>3400</v>
      </c>
      <c r="E1610" s="1" t="s">
        <v>3401</v>
      </c>
      <c r="F1610" s="1" t="str">
        <f>HYPERLINK("https://talan.bank.gov.ua/get-user-certificate/J5325QqhaVHJk7IAAEd9","Завантажити сертифікат")</f>
        <v>Завантажити сертифікат</v>
      </c>
    </row>
    <row r="1611" spans="1:6" ht="28.8" x14ac:dyDescent="0.3">
      <c r="A1611" s="2">
        <v>1610</v>
      </c>
      <c r="B1611" s="1" t="s">
        <v>3402</v>
      </c>
      <c r="C1611" s="1" t="s">
        <v>3399</v>
      </c>
      <c r="D1611" s="1" t="s">
        <v>3400</v>
      </c>
      <c r="E1611" s="1" t="s">
        <v>3403</v>
      </c>
      <c r="F1611" s="1" t="str">
        <f>HYPERLINK("https://talan.bank.gov.ua/get-user-certificate/J5325qzT4P2EYDuoNqZ8","Завантажити сертифікат")</f>
        <v>Завантажити сертифікат</v>
      </c>
    </row>
    <row r="1612" spans="1:6" ht="28.8" x14ac:dyDescent="0.3">
      <c r="A1612" s="2">
        <v>1611</v>
      </c>
      <c r="B1612" s="1" t="s">
        <v>3404</v>
      </c>
      <c r="C1612" s="1" t="s">
        <v>3399</v>
      </c>
      <c r="D1612" s="1" t="s">
        <v>3400</v>
      </c>
      <c r="E1612" s="1" t="s">
        <v>3405</v>
      </c>
      <c r="F1612" s="1" t="str">
        <f>HYPERLINK("https://talan.bank.gov.ua/get-user-certificate/J5325fDjtuwMoyOPA9rf","Завантажити сертифікат")</f>
        <v>Завантажити сертифікат</v>
      </c>
    </row>
    <row r="1613" spans="1:6" ht="28.8" x14ac:dyDescent="0.3">
      <c r="A1613" s="2">
        <v>1612</v>
      </c>
      <c r="B1613" s="1" t="s">
        <v>3406</v>
      </c>
      <c r="C1613" s="1" t="s">
        <v>3399</v>
      </c>
      <c r="D1613" s="1" t="s">
        <v>3400</v>
      </c>
      <c r="E1613" s="1" t="s">
        <v>3407</v>
      </c>
      <c r="F1613" s="1" t="str">
        <f>HYPERLINK("https://talan.bank.gov.ua/get-user-certificate/J5325KgY3EHRol7InhpD","Завантажити сертифікат")</f>
        <v>Завантажити сертифікат</v>
      </c>
    </row>
    <row r="1614" spans="1:6" ht="28.8" x14ac:dyDescent="0.3">
      <c r="A1614" s="2">
        <v>1613</v>
      </c>
      <c r="B1614" s="1" t="s">
        <v>3408</v>
      </c>
      <c r="C1614" s="1" t="s">
        <v>3399</v>
      </c>
      <c r="D1614" s="1" t="s">
        <v>3400</v>
      </c>
      <c r="E1614" s="1" t="s">
        <v>3409</v>
      </c>
      <c r="F1614" s="1" t="str">
        <f>HYPERLINK("https://talan.bank.gov.ua/get-user-certificate/J5325vOla-_Xa6S6YNTO","Завантажити сертифікат")</f>
        <v>Завантажити сертифікат</v>
      </c>
    </row>
    <row r="1615" spans="1:6" ht="28.8" x14ac:dyDescent="0.3">
      <c r="A1615" s="2">
        <v>1614</v>
      </c>
      <c r="B1615" s="1" t="s">
        <v>3410</v>
      </c>
      <c r="C1615" s="1" t="s">
        <v>3399</v>
      </c>
      <c r="D1615" s="1" t="s">
        <v>3400</v>
      </c>
      <c r="E1615" s="1" t="s">
        <v>3411</v>
      </c>
      <c r="F1615" s="1" t="str">
        <f>HYPERLINK("https://talan.bank.gov.ua/get-user-certificate/J5325iadTvi79Pn8Jh1G","Завантажити сертифікат")</f>
        <v>Завантажити сертифікат</v>
      </c>
    </row>
    <row r="1616" spans="1:6" ht="28.8" x14ac:dyDescent="0.3">
      <c r="A1616" s="2">
        <v>1615</v>
      </c>
      <c r="B1616" s="1" t="s">
        <v>3412</v>
      </c>
      <c r="C1616" s="1" t="s">
        <v>3399</v>
      </c>
      <c r="D1616" s="1" t="s">
        <v>3400</v>
      </c>
      <c r="E1616" s="1" t="s">
        <v>3413</v>
      </c>
      <c r="F1616" s="1" t="str">
        <f>HYPERLINK("https://talan.bank.gov.ua/get-user-certificate/J53254m_PjQNXq4unEAo","Завантажити сертифікат")</f>
        <v>Завантажити сертифікат</v>
      </c>
    </row>
    <row r="1617" spans="1:6" x14ac:dyDescent="0.3">
      <c r="A1617" s="2">
        <v>1616</v>
      </c>
      <c r="B1617" s="1" t="s">
        <v>3414</v>
      </c>
      <c r="C1617" s="1" t="s">
        <v>3415</v>
      </c>
      <c r="D1617" s="1" t="s">
        <v>3416</v>
      </c>
      <c r="E1617" s="1" t="s">
        <v>3417</v>
      </c>
      <c r="F1617" s="1" t="str">
        <f>HYPERLINK("https://talan.bank.gov.ua/get-user-certificate/J5325lsEeVVETbeYIVDL","Завантажити сертифікат")</f>
        <v>Завантажити сертифікат</v>
      </c>
    </row>
    <row r="1618" spans="1:6" x14ac:dyDescent="0.3">
      <c r="A1618" s="2">
        <v>1617</v>
      </c>
      <c r="B1618" s="1" t="s">
        <v>3418</v>
      </c>
      <c r="C1618" s="1" t="s">
        <v>3415</v>
      </c>
      <c r="D1618" s="1" t="s">
        <v>3416</v>
      </c>
      <c r="E1618" s="1" t="s">
        <v>3419</v>
      </c>
      <c r="F1618" s="1" t="str">
        <f>HYPERLINK("https://talan.bank.gov.ua/get-user-certificate/J5325Vzi8DNUuz8h-Yob","Завантажити сертифікат")</f>
        <v>Завантажити сертифікат</v>
      </c>
    </row>
    <row r="1619" spans="1:6" x14ac:dyDescent="0.3">
      <c r="A1619" s="2">
        <v>1618</v>
      </c>
      <c r="B1619" s="1" t="s">
        <v>3420</v>
      </c>
      <c r="C1619" s="1" t="s">
        <v>3415</v>
      </c>
      <c r="D1619" s="1" t="s">
        <v>3416</v>
      </c>
      <c r="E1619" s="1" t="s">
        <v>3421</v>
      </c>
      <c r="F1619" s="1" t="str">
        <f>HYPERLINK("https://talan.bank.gov.ua/get-user-certificate/J5325S8HRTtoZfnfDrg-","Завантажити сертифікат")</f>
        <v>Завантажити сертифікат</v>
      </c>
    </row>
    <row r="1620" spans="1:6" x14ac:dyDescent="0.3">
      <c r="A1620" s="2">
        <v>1619</v>
      </c>
      <c r="B1620" s="1" t="s">
        <v>3422</v>
      </c>
      <c r="C1620" s="1" t="s">
        <v>3423</v>
      </c>
      <c r="D1620" s="1" t="s">
        <v>3424</v>
      </c>
      <c r="E1620" s="1" t="s">
        <v>3425</v>
      </c>
      <c r="F1620" s="1" t="str">
        <f>HYPERLINK("https://talan.bank.gov.ua/get-user-certificate/J5325kQ598UMBZkQ-utX","Завантажити сертифікат")</f>
        <v>Завантажити сертифікат</v>
      </c>
    </row>
    <row r="1621" spans="1:6" x14ac:dyDescent="0.3">
      <c r="A1621" s="2">
        <v>1620</v>
      </c>
      <c r="B1621" s="1" t="s">
        <v>3426</v>
      </c>
      <c r="C1621" s="1" t="s">
        <v>3423</v>
      </c>
      <c r="D1621" s="1" t="s">
        <v>3424</v>
      </c>
      <c r="E1621" s="1" t="s">
        <v>3427</v>
      </c>
      <c r="F1621" s="1" t="str">
        <f>HYPERLINK("https://talan.bank.gov.ua/get-user-certificate/J53255b4HwZGZ4LpTk4u","Завантажити сертифікат")</f>
        <v>Завантажити сертифікат</v>
      </c>
    </row>
    <row r="1622" spans="1:6" x14ac:dyDescent="0.3">
      <c r="A1622" s="2">
        <v>1621</v>
      </c>
      <c r="B1622" s="1" t="s">
        <v>3428</v>
      </c>
      <c r="C1622" s="1" t="s">
        <v>3423</v>
      </c>
      <c r="D1622" s="1" t="s">
        <v>3424</v>
      </c>
      <c r="E1622" s="1" t="s">
        <v>3429</v>
      </c>
      <c r="F1622" s="1" t="str">
        <f>HYPERLINK("https://talan.bank.gov.ua/get-user-certificate/J5325QgzkuZhPvwoEcbX","Завантажити сертифікат")</f>
        <v>Завантажити сертифікат</v>
      </c>
    </row>
    <row r="1623" spans="1:6" ht="28.8" x14ac:dyDescent="0.3">
      <c r="A1623" s="2">
        <v>1622</v>
      </c>
      <c r="B1623" s="1" t="s">
        <v>3430</v>
      </c>
      <c r="C1623" s="1" t="s">
        <v>3423</v>
      </c>
      <c r="D1623" s="1" t="s">
        <v>3424</v>
      </c>
      <c r="E1623" s="1" t="s">
        <v>3431</v>
      </c>
      <c r="F1623" s="1" t="str">
        <f>HYPERLINK("https://talan.bank.gov.ua/get-user-certificate/J5325w8PPVMNcU0NY1Km","Завантажити сертифікат")</f>
        <v>Завантажити сертифікат</v>
      </c>
    </row>
    <row r="1624" spans="1:6" x14ac:dyDescent="0.3">
      <c r="A1624" s="2">
        <v>1623</v>
      </c>
      <c r="B1624" s="1" t="s">
        <v>3432</v>
      </c>
      <c r="C1624" s="1" t="s">
        <v>3423</v>
      </c>
      <c r="D1624" s="1" t="s">
        <v>3424</v>
      </c>
      <c r="E1624" s="1" t="s">
        <v>3433</v>
      </c>
      <c r="F1624" s="1" t="str">
        <f>HYPERLINK("https://talan.bank.gov.ua/get-user-certificate/J5325Ulqp6fYO2M9lUHm","Завантажити сертифікат")</f>
        <v>Завантажити сертифікат</v>
      </c>
    </row>
    <row r="1625" spans="1:6" x14ac:dyDescent="0.3">
      <c r="A1625" s="2">
        <v>1624</v>
      </c>
      <c r="B1625" s="1" t="s">
        <v>3434</v>
      </c>
      <c r="C1625" s="1" t="s">
        <v>3423</v>
      </c>
      <c r="D1625" s="1" t="s">
        <v>3424</v>
      </c>
      <c r="E1625" s="1" t="s">
        <v>3435</v>
      </c>
      <c r="F1625" s="1" t="str">
        <f>HYPERLINK("https://talan.bank.gov.ua/get-user-certificate/J5325Qn6fUVO3hTVWGU9","Завантажити сертифікат")</f>
        <v>Завантажити сертифікат</v>
      </c>
    </row>
    <row r="1626" spans="1:6" x14ac:dyDescent="0.3">
      <c r="A1626" s="2">
        <v>1625</v>
      </c>
      <c r="B1626" s="1" t="s">
        <v>3436</v>
      </c>
      <c r="C1626" s="1" t="s">
        <v>3423</v>
      </c>
      <c r="D1626" s="1" t="s">
        <v>3424</v>
      </c>
      <c r="E1626" s="1" t="s">
        <v>3437</v>
      </c>
      <c r="F1626" s="1" t="str">
        <f>HYPERLINK("https://talan.bank.gov.ua/get-user-certificate/J5325XgtR7Rn1DHcJF5D","Завантажити сертифікат")</f>
        <v>Завантажити сертифікат</v>
      </c>
    </row>
    <row r="1627" spans="1:6" x14ac:dyDescent="0.3">
      <c r="A1627" s="2">
        <v>1626</v>
      </c>
      <c r="B1627" s="1" t="s">
        <v>3438</v>
      </c>
      <c r="C1627" s="1" t="s">
        <v>3439</v>
      </c>
      <c r="D1627" s="1" t="s">
        <v>3440</v>
      </c>
      <c r="E1627" s="1" t="s">
        <v>3441</v>
      </c>
      <c r="F1627" s="1" t="str">
        <f>HYPERLINK("https://talan.bank.gov.ua/get-user-certificate/J53255Qfu6A79DSnpFjA","Завантажити сертифікат")</f>
        <v>Завантажити сертифікат</v>
      </c>
    </row>
    <row r="1628" spans="1:6" x14ac:dyDescent="0.3">
      <c r="A1628" s="2">
        <v>1627</v>
      </c>
      <c r="B1628" s="1" t="s">
        <v>3442</v>
      </c>
      <c r="C1628" s="1" t="s">
        <v>3439</v>
      </c>
      <c r="D1628" s="1" t="s">
        <v>3440</v>
      </c>
      <c r="E1628" s="1" t="s">
        <v>3443</v>
      </c>
      <c r="F1628" s="1" t="str">
        <f>HYPERLINK("https://talan.bank.gov.ua/get-user-certificate/J5325zN4JTI2N90tRwHt","Завантажити сертифікат")</f>
        <v>Завантажити сертифікат</v>
      </c>
    </row>
    <row r="1629" spans="1:6" x14ac:dyDescent="0.3">
      <c r="A1629" s="2">
        <v>1628</v>
      </c>
      <c r="B1629" s="1" t="s">
        <v>3444</v>
      </c>
      <c r="C1629" s="1" t="s">
        <v>3445</v>
      </c>
      <c r="D1629" s="1" t="s">
        <v>3446</v>
      </c>
      <c r="E1629" s="1" t="s">
        <v>3447</v>
      </c>
      <c r="F1629" s="1" t="str">
        <f>HYPERLINK("https://talan.bank.gov.ua/get-user-certificate/J5325DWqd3o6pxWY73iC","Завантажити сертифікат")</f>
        <v>Завантажити сертифікат</v>
      </c>
    </row>
    <row r="1630" spans="1:6" x14ac:dyDescent="0.3">
      <c r="A1630" s="2">
        <v>1629</v>
      </c>
      <c r="B1630" s="1" t="s">
        <v>3448</v>
      </c>
      <c r="C1630" s="1" t="s">
        <v>3445</v>
      </c>
      <c r="D1630" s="1" t="s">
        <v>3446</v>
      </c>
      <c r="E1630" s="1" t="s">
        <v>3449</v>
      </c>
      <c r="F1630" s="1" t="str">
        <f>HYPERLINK("https://talan.bank.gov.ua/get-user-certificate/J53254Jinl8B3oViGn9F","Завантажити сертифікат")</f>
        <v>Завантажити сертифікат</v>
      </c>
    </row>
    <row r="1631" spans="1:6" x14ac:dyDescent="0.3">
      <c r="A1631" s="2">
        <v>1630</v>
      </c>
      <c r="B1631" s="1" t="s">
        <v>3450</v>
      </c>
      <c r="C1631" s="1" t="s">
        <v>3445</v>
      </c>
      <c r="D1631" s="1" t="s">
        <v>3446</v>
      </c>
      <c r="E1631" s="1" t="s">
        <v>3451</v>
      </c>
      <c r="F1631" s="1" t="str">
        <f>HYPERLINK("https://talan.bank.gov.ua/get-user-certificate/J53255NWQtIiJfYBzzTL","Завантажити сертифікат")</f>
        <v>Завантажити сертифікат</v>
      </c>
    </row>
    <row r="1632" spans="1:6" x14ac:dyDescent="0.3">
      <c r="A1632" s="2">
        <v>1631</v>
      </c>
      <c r="B1632" s="1" t="s">
        <v>3452</v>
      </c>
      <c r="C1632" s="1" t="s">
        <v>3445</v>
      </c>
      <c r="D1632" s="1" t="s">
        <v>3446</v>
      </c>
      <c r="E1632" s="1" t="s">
        <v>3453</v>
      </c>
      <c r="F1632" s="1" t="str">
        <f>HYPERLINK("https://talan.bank.gov.ua/get-user-certificate/J5325lKGt-Mm1a1Vw8ga","Завантажити сертифікат")</f>
        <v>Завантажити сертифікат</v>
      </c>
    </row>
    <row r="1633" spans="1:6" x14ac:dyDescent="0.3">
      <c r="A1633" s="2">
        <v>1632</v>
      </c>
      <c r="B1633" s="1" t="s">
        <v>3454</v>
      </c>
      <c r="C1633" s="1" t="s">
        <v>3445</v>
      </c>
      <c r="D1633" s="1" t="s">
        <v>3446</v>
      </c>
      <c r="E1633" s="1" t="s">
        <v>3455</v>
      </c>
      <c r="F1633" s="1" t="str">
        <f>HYPERLINK("https://talan.bank.gov.ua/get-user-certificate/J5325tp2K-XKc6L3DwrG","Завантажити сертифікат")</f>
        <v>Завантажити сертифікат</v>
      </c>
    </row>
    <row r="1634" spans="1:6" x14ac:dyDescent="0.3">
      <c r="A1634" s="2">
        <v>1633</v>
      </c>
      <c r="B1634" s="1" t="s">
        <v>3456</v>
      </c>
      <c r="C1634" s="1" t="s">
        <v>3445</v>
      </c>
      <c r="D1634" s="1" t="s">
        <v>3446</v>
      </c>
      <c r="E1634" s="1" t="s">
        <v>3457</v>
      </c>
      <c r="F1634" s="1" t="str">
        <f>HYPERLINK("https://talan.bank.gov.ua/get-user-certificate/J5325XZK840cfujIHYiC","Завантажити сертифікат")</f>
        <v>Завантажити сертифікат</v>
      </c>
    </row>
    <row r="1635" spans="1:6" x14ac:dyDescent="0.3">
      <c r="A1635" s="2">
        <v>1634</v>
      </c>
      <c r="B1635" s="1" t="s">
        <v>3458</v>
      </c>
      <c r="C1635" s="1" t="s">
        <v>3445</v>
      </c>
      <c r="D1635" s="1" t="s">
        <v>3446</v>
      </c>
      <c r="E1635" s="1" t="s">
        <v>3459</v>
      </c>
      <c r="F1635" s="1" t="str">
        <f>HYPERLINK("https://talan.bank.gov.ua/get-user-certificate/J5325pQf3TsLN6wBdg0v","Завантажити сертифікат")</f>
        <v>Завантажити сертифікат</v>
      </c>
    </row>
    <row r="1636" spans="1:6" x14ac:dyDescent="0.3">
      <c r="A1636" s="2">
        <v>1635</v>
      </c>
      <c r="B1636" s="1" t="s">
        <v>3460</v>
      </c>
      <c r="C1636" s="1" t="s">
        <v>3445</v>
      </c>
      <c r="D1636" s="1" t="s">
        <v>3446</v>
      </c>
      <c r="E1636" s="1" t="s">
        <v>3461</v>
      </c>
      <c r="F1636" s="1" t="str">
        <f>HYPERLINK("https://talan.bank.gov.ua/get-user-certificate/J5325t5BW5sCDRdcxwRy","Завантажити сертифікат")</f>
        <v>Завантажити сертифікат</v>
      </c>
    </row>
    <row r="1637" spans="1:6" x14ac:dyDescent="0.3">
      <c r="A1637" s="2">
        <v>1636</v>
      </c>
      <c r="B1637" s="1" t="s">
        <v>3462</v>
      </c>
      <c r="C1637" s="1" t="s">
        <v>3445</v>
      </c>
      <c r="D1637" s="1" t="s">
        <v>3446</v>
      </c>
      <c r="E1637" s="1" t="s">
        <v>3463</v>
      </c>
      <c r="F1637" s="1" t="str">
        <f>HYPERLINK("https://talan.bank.gov.ua/get-user-certificate/J5325luHBWGFfmS7MqJX","Завантажити сертифікат")</f>
        <v>Завантажити сертифікат</v>
      </c>
    </row>
    <row r="1638" spans="1:6" x14ac:dyDescent="0.3">
      <c r="A1638" s="2">
        <v>1637</v>
      </c>
      <c r="B1638" s="1" t="s">
        <v>3464</v>
      </c>
      <c r="C1638" s="1" t="s">
        <v>3445</v>
      </c>
      <c r="D1638" s="1" t="s">
        <v>3446</v>
      </c>
      <c r="E1638" s="1" t="s">
        <v>3465</v>
      </c>
      <c r="F1638" s="1" t="str">
        <f>HYPERLINK("https://talan.bank.gov.ua/get-user-certificate/J5325a3G463S7wDhNjCz","Завантажити сертифікат")</f>
        <v>Завантажити сертифікат</v>
      </c>
    </row>
    <row r="1639" spans="1:6" x14ac:dyDescent="0.3">
      <c r="A1639" s="2">
        <v>1638</v>
      </c>
      <c r="B1639" s="1" t="s">
        <v>3466</v>
      </c>
      <c r="C1639" s="1" t="s">
        <v>3445</v>
      </c>
      <c r="D1639" s="1" t="s">
        <v>3446</v>
      </c>
      <c r="E1639" s="1" t="s">
        <v>3467</v>
      </c>
      <c r="F1639" s="1" t="str">
        <f>HYPERLINK("https://talan.bank.gov.ua/get-user-certificate/J5325cPKPZdOnT4-VbGQ","Завантажити сертифікат")</f>
        <v>Завантажити сертифікат</v>
      </c>
    </row>
    <row r="1640" spans="1:6" x14ac:dyDescent="0.3">
      <c r="A1640" s="2">
        <v>1639</v>
      </c>
      <c r="B1640" s="1" t="s">
        <v>3468</v>
      </c>
      <c r="C1640" s="1" t="s">
        <v>3445</v>
      </c>
      <c r="D1640" s="1" t="s">
        <v>3446</v>
      </c>
      <c r="E1640" s="1" t="s">
        <v>3469</v>
      </c>
      <c r="F1640" s="1" t="str">
        <f>HYPERLINK("https://talan.bank.gov.ua/get-user-certificate/J5325ldIeoSvBwmSG_Eo","Завантажити сертифікат")</f>
        <v>Завантажити сертифікат</v>
      </c>
    </row>
    <row r="1641" spans="1:6" x14ac:dyDescent="0.3">
      <c r="A1641" s="2">
        <v>1640</v>
      </c>
      <c r="B1641" s="1" t="s">
        <v>3470</v>
      </c>
      <c r="C1641" s="1" t="s">
        <v>3445</v>
      </c>
      <c r="D1641" s="1" t="s">
        <v>3446</v>
      </c>
      <c r="E1641" s="1" t="s">
        <v>3471</v>
      </c>
      <c r="F1641" s="1" t="str">
        <f>HYPERLINK("https://talan.bank.gov.ua/get-user-certificate/J5325rodspXICSsIF6IO","Завантажити сертифікат")</f>
        <v>Завантажити сертифікат</v>
      </c>
    </row>
    <row r="1642" spans="1:6" x14ac:dyDescent="0.3">
      <c r="A1642" s="2">
        <v>1641</v>
      </c>
      <c r="B1642" s="1" t="s">
        <v>3472</v>
      </c>
      <c r="C1642" s="1" t="s">
        <v>3445</v>
      </c>
      <c r="D1642" s="1" t="s">
        <v>3446</v>
      </c>
      <c r="E1642" s="1" t="s">
        <v>3473</v>
      </c>
      <c r="F1642" s="1" t="str">
        <f>HYPERLINK("https://talan.bank.gov.ua/get-user-certificate/J5325wSaLYiUvcH-M_9j","Завантажити сертифікат")</f>
        <v>Завантажити сертифікат</v>
      </c>
    </row>
    <row r="1643" spans="1:6" x14ac:dyDescent="0.3">
      <c r="A1643" s="2">
        <v>1642</v>
      </c>
      <c r="B1643" s="1" t="s">
        <v>3474</v>
      </c>
      <c r="C1643" s="1" t="s">
        <v>3445</v>
      </c>
      <c r="D1643" s="1" t="s">
        <v>3446</v>
      </c>
      <c r="E1643" s="1" t="s">
        <v>3475</v>
      </c>
      <c r="F1643" s="1" t="str">
        <f>HYPERLINK("https://talan.bank.gov.ua/get-user-certificate/J5325MBvS7CnfoTCm8Uy","Завантажити сертифікат")</f>
        <v>Завантажити сертифікат</v>
      </c>
    </row>
    <row r="1644" spans="1:6" ht="43.2" x14ac:dyDescent="0.3">
      <c r="A1644" s="2">
        <v>1643</v>
      </c>
      <c r="B1644" s="1" t="s">
        <v>3476</v>
      </c>
      <c r="C1644" s="1" t="s">
        <v>3477</v>
      </c>
      <c r="D1644" s="1" t="s">
        <v>3478</v>
      </c>
      <c r="E1644" s="1" t="s">
        <v>3479</v>
      </c>
      <c r="F1644" s="1" t="str">
        <f>HYPERLINK("https://talan.bank.gov.ua/get-user-certificate/J53259ZqWG3f_EE4loPs","Завантажити сертифікат")</f>
        <v>Завантажити сертифікат</v>
      </c>
    </row>
    <row r="1645" spans="1:6" x14ac:dyDescent="0.3">
      <c r="A1645" s="2">
        <v>1644</v>
      </c>
      <c r="B1645" s="1" t="s">
        <v>3480</v>
      </c>
      <c r="C1645" s="1" t="s">
        <v>3481</v>
      </c>
      <c r="D1645" s="1" t="s">
        <v>3482</v>
      </c>
      <c r="E1645" s="1" t="s">
        <v>3483</v>
      </c>
      <c r="F1645" s="1" t="str">
        <f>HYPERLINK("https://talan.bank.gov.ua/get-user-certificate/J5325LcFcQj9VvVA_fgo","Завантажити сертифікат")</f>
        <v>Завантажити сертифікат</v>
      </c>
    </row>
    <row r="1646" spans="1:6" x14ac:dyDescent="0.3">
      <c r="A1646" s="2">
        <v>1645</v>
      </c>
      <c r="B1646" s="1" t="s">
        <v>3484</v>
      </c>
      <c r="C1646" s="1" t="s">
        <v>3481</v>
      </c>
      <c r="D1646" s="1" t="s">
        <v>3482</v>
      </c>
      <c r="E1646" s="1" t="s">
        <v>3485</v>
      </c>
      <c r="F1646" s="1" t="str">
        <f>HYPERLINK("https://talan.bank.gov.ua/get-user-certificate/J5325zaVG7Q22FVjU3RO","Завантажити сертифікат")</f>
        <v>Завантажити сертифікат</v>
      </c>
    </row>
    <row r="1647" spans="1:6" x14ac:dyDescent="0.3">
      <c r="A1647" s="2">
        <v>1646</v>
      </c>
      <c r="B1647" s="1" t="s">
        <v>3486</v>
      </c>
      <c r="C1647" s="1" t="s">
        <v>3481</v>
      </c>
      <c r="D1647" s="1" t="s">
        <v>3482</v>
      </c>
      <c r="E1647" s="1" t="s">
        <v>3487</v>
      </c>
      <c r="F1647" s="1" t="str">
        <f>HYPERLINK("https://talan.bank.gov.ua/get-user-certificate/J5325w8_IN2Eblha8neU","Завантажити сертифікат")</f>
        <v>Завантажити сертифікат</v>
      </c>
    </row>
    <row r="1648" spans="1:6" x14ac:dyDescent="0.3">
      <c r="A1648" s="2">
        <v>1647</v>
      </c>
      <c r="B1648" s="1" t="s">
        <v>3488</v>
      </c>
      <c r="C1648" s="1" t="s">
        <v>3481</v>
      </c>
      <c r="D1648" s="1" t="s">
        <v>3482</v>
      </c>
      <c r="E1648" s="1" t="s">
        <v>3489</v>
      </c>
      <c r="F1648" s="1" t="str">
        <f>HYPERLINK("https://talan.bank.gov.ua/get-user-certificate/J5325oXgG56Z9H_ZOs5I","Завантажити сертифікат")</f>
        <v>Завантажити сертифікат</v>
      </c>
    </row>
    <row r="1649" spans="1:6" x14ac:dyDescent="0.3">
      <c r="A1649" s="2">
        <v>1648</v>
      </c>
      <c r="B1649" s="1" t="s">
        <v>3490</v>
      </c>
      <c r="C1649" s="1" t="s">
        <v>3481</v>
      </c>
      <c r="D1649" s="1" t="s">
        <v>3482</v>
      </c>
      <c r="E1649" s="1" t="s">
        <v>3491</v>
      </c>
      <c r="F1649" s="1" t="str">
        <f>HYPERLINK("https://talan.bank.gov.ua/get-user-certificate/J5325X5y27bDuDP4Wtun","Завантажити сертифікат")</f>
        <v>Завантажити сертифікат</v>
      </c>
    </row>
    <row r="1650" spans="1:6" x14ac:dyDescent="0.3">
      <c r="A1650" s="2">
        <v>1649</v>
      </c>
      <c r="B1650" s="1" t="s">
        <v>3492</v>
      </c>
      <c r="C1650" s="1" t="s">
        <v>3481</v>
      </c>
      <c r="D1650" s="1" t="s">
        <v>3482</v>
      </c>
      <c r="E1650" s="1" t="s">
        <v>3493</v>
      </c>
      <c r="F1650" s="1" t="str">
        <f>HYPERLINK("https://talan.bank.gov.ua/get-user-certificate/J53253zBhLZW0lq-FJU-","Завантажити сертифікат")</f>
        <v>Завантажити сертифікат</v>
      </c>
    </row>
    <row r="1651" spans="1:6" x14ac:dyDescent="0.3">
      <c r="A1651" s="2">
        <v>1650</v>
      </c>
      <c r="B1651" s="1" t="s">
        <v>3494</v>
      </c>
      <c r="C1651" s="1" t="s">
        <v>3481</v>
      </c>
      <c r="D1651" s="1" t="s">
        <v>3482</v>
      </c>
      <c r="E1651" s="1" t="s">
        <v>3495</v>
      </c>
      <c r="F1651" s="1" t="str">
        <f>HYPERLINK("https://talan.bank.gov.ua/get-user-certificate/J5325gnpoJFF-ltlM1g0","Завантажити сертифікат")</f>
        <v>Завантажити сертифікат</v>
      </c>
    </row>
    <row r="1652" spans="1:6" x14ac:dyDescent="0.3">
      <c r="A1652" s="2">
        <v>1651</v>
      </c>
      <c r="B1652" s="1" t="s">
        <v>3496</v>
      </c>
      <c r="C1652" s="1" t="s">
        <v>3481</v>
      </c>
      <c r="D1652" s="1" t="s">
        <v>3482</v>
      </c>
      <c r="E1652" s="1" t="s">
        <v>3497</v>
      </c>
      <c r="F1652" s="1" t="str">
        <f>HYPERLINK("https://talan.bank.gov.ua/get-user-certificate/J5325ald0dyeNfG2cIbf","Завантажити сертифікат")</f>
        <v>Завантажити сертифікат</v>
      </c>
    </row>
    <row r="1653" spans="1:6" x14ac:dyDescent="0.3">
      <c r="A1653" s="2">
        <v>1652</v>
      </c>
      <c r="B1653" s="1" t="s">
        <v>3498</v>
      </c>
      <c r="C1653" s="1" t="s">
        <v>3481</v>
      </c>
      <c r="D1653" s="1" t="s">
        <v>3482</v>
      </c>
      <c r="E1653" s="1" t="s">
        <v>3499</v>
      </c>
      <c r="F1653" s="1" t="str">
        <f>HYPERLINK("https://talan.bank.gov.ua/get-user-certificate/J532585yH8RRa6wje9dW","Завантажити сертифікат")</f>
        <v>Завантажити сертифікат</v>
      </c>
    </row>
    <row r="1654" spans="1:6" x14ac:dyDescent="0.3">
      <c r="A1654" s="2">
        <v>1653</v>
      </c>
      <c r="B1654" s="1" t="s">
        <v>3500</v>
      </c>
      <c r="C1654" s="1" t="s">
        <v>3481</v>
      </c>
      <c r="D1654" s="1" t="s">
        <v>3482</v>
      </c>
      <c r="E1654" s="1" t="s">
        <v>3501</v>
      </c>
      <c r="F1654" s="1" t="str">
        <f>HYPERLINK("https://talan.bank.gov.ua/get-user-certificate/J5325pKMPpxRlt6KhYOZ","Завантажити сертифікат")</f>
        <v>Завантажити сертифікат</v>
      </c>
    </row>
    <row r="1655" spans="1:6" x14ac:dyDescent="0.3">
      <c r="A1655" s="2">
        <v>1654</v>
      </c>
      <c r="B1655" s="1" t="s">
        <v>3502</v>
      </c>
      <c r="C1655" s="1" t="s">
        <v>3481</v>
      </c>
      <c r="D1655" s="1" t="s">
        <v>3482</v>
      </c>
      <c r="E1655" s="1" t="s">
        <v>3503</v>
      </c>
      <c r="F1655" s="1" t="str">
        <f>HYPERLINK("https://talan.bank.gov.ua/get-user-certificate/J5325AAHF6526I4RMU8_","Завантажити сертифікат")</f>
        <v>Завантажити сертифікат</v>
      </c>
    </row>
    <row r="1656" spans="1:6" ht="28.8" x14ac:dyDescent="0.3">
      <c r="A1656" s="2">
        <v>1655</v>
      </c>
      <c r="B1656" s="1" t="s">
        <v>3504</v>
      </c>
      <c r="C1656" s="1" t="s">
        <v>3481</v>
      </c>
      <c r="D1656" s="1" t="s">
        <v>3482</v>
      </c>
      <c r="E1656" s="1" t="s">
        <v>3505</v>
      </c>
      <c r="F1656" s="1" t="str">
        <f>HYPERLINK("https://talan.bank.gov.ua/get-user-certificate/J532520M_osa3shwN4xS","Завантажити сертифікат")</f>
        <v>Завантажити сертифікат</v>
      </c>
    </row>
    <row r="1657" spans="1:6" x14ac:dyDescent="0.3">
      <c r="A1657" s="2">
        <v>1656</v>
      </c>
      <c r="B1657" s="1" t="s">
        <v>3506</v>
      </c>
      <c r="C1657" s="1" t="s">
        <v>3481</v>
      </c>
      <c r="D1657" s="1" t="s">
        <v>3482</v>
      </c>
      <c r="E1657" s="1" t="s">
        <v>3507</v>
      </c>
      <c r="F1657" s="1" t="str">
        <f>HYPERLINK("https://talan.bank.gov.ua/get-user-certificate/J5325cT-9QbyIWgkqdMy","Завантажити сертифікат")</f>
        <v>Завантажити сертифікат</v>
      </c>
    </row>
    <row r="1658" spans="1:6" x14ac:dyDescent="0.3">
      <c r="A1658" s="2">
        <v>1657</v>
      </c>
      <c r="B1658" s="1" t="s">
        <v>3508</v>
      </c>
      <c r="C1658" s="1" t="s">
        <v>3481</v>
      </c>
      <c r="D1658" s="1" t="s">
        <v>3482</v>
      </c>
      <c r="E1658" s="1" t="s">
        <v>3509</v>
      </c>
      <c r="F1658" s="1" t="str">
        <f>HYPERLINK("https://talan.bank.gov.ua/get-user-certificate/J5325ed5wi4fFE_rB-_s","Завантажити сертифікат")</f>
        <v>Завантажити сертифікат</v>
      </c>
    </row>
    <row r="1659" spans="1:6" ht="28.8" x14ac:dyDescent="0.3">
      <c r="A1659" s="2">
        <v>1658</v>
      </c>
      <c r="B1659" s="1" t="s">
        <v>3510</v>
      </c>
      <c r="C1659" s="1" t="s">
        <v>3511</v>
      </c>
      <c r="D1659" s="1" t="s">
        <v>3512</v>
      </c>
      <c r="E1659" s="1" t="s">
        <v>3513</v>
      </c>
      <c r="F1659" s="1" t="str">
        <f>HYPERLINK("https://talan.bank.gov.ua/get-user-certificate/J53254vv2NKGPuNxo4PB","Завантажити сертифікат")</f>
        <v>Завантажити сертифікат</v>
      </c>
    </row>
    <row r="1660" spans="1:6" ht="28.8" x14ac:dyDescent="0.3">
      <c r="A1660" s="2">
        <v>1659</v>
      </c>
      <c r="B1660" s="1" t="s">
        <v>3514</v>
      </c>
      <c r="C1660" s="1" t="s">
        <v>3511</v>
      </c>
      <c r="D1660" s="1" t="s">
        <v>3512</v>
      </c>
      <c r="E1660" s="1" t="s">
        <v>3515</v>
      </c>
      <c r="F1660" s="1" t="str">
        <f>HYPERLINK("https://talan.bank.gov.ua/get-user-certificate/J53250Pdbfisk4XpkMvB","Завантажити сертифікат")</f>
        <v>Завантажити сертифікат</v>
      </c>
    </row>
    <row r="1661" spans="1:6" x14ac:dyDescent="0.3">
      <c r="A1661" s="2">
        <v>1660</v>
      </c>
      <c r="B1661" s="1" t="s">
        <v>3516</v>
      </c>
      <c r="C1661" s="1" t="s">
        <v>3511</v>
      </c>
      <c r="D1661" s="1" t="s">
        <v>3512</v>
      </c>
      <c r="E1661" s="1" t="s">
        <v>3517</v>
      </c>
      <c r="F1661" s="1" t="str">
        <f>HYPERLINK("https://talan.bank.gov.ua/get-user-certificate/J5325rVJBxVE9JXaHt0i","Завантажити сертифікат")</f>
        <v>Завантажити сертифікат</v>
      </c>
    </row>
    <row r="1662" spans="1:6" x14ac:dyDescent="0.3">
      <c r="A1662" s="2">
        <v>1661</v>
      </c>
      <c r="B1662" s="1" t="s">
        <v>3518</v>
      </c>
      <c r="C1662" s="1" t="s">
        <v>3511</v>
      </c>
      <c r="D1662" s="1" t="s">
        <v>3512</v>
      </c>
      <c r="E1662" s="1" t="s">
        <v>3519</v>
      </c>
      <c r="F1662" s="1" t="str">
        <f>HYPERLINK("https://talan.bank.gov.ua/get-user-certificate/J5325TO_Tj9M0vnYOxDM","Завантажити сертифікат")</f>
        <v>Завантажити сертифікат</v>
      </c>
    </row>
    <row r="1663" spans="1:6" x14ac:dyDescent="0.3">
      <c r="A1663" s="2">
        <v>1662</v>
      </c>
      <c r="B1663" s="1" t="s">
        <v>3520</v>
      </c>
      <c r="C1663" s="1" t="s">
        <v>3511</v>
      </c>
      <c r="D1663" s="1" t="s">
        <v>3512</v>
      </c>
      <c r="E1663" s="1" t="s">
        <v>3521</v>
      </c>
      <c r="F1663" s="1" t="str">
        <f>HYPERLINK("https://talan.bank.gov.ua/get-user-certificate/J5325MLxymwVf-iqZTue","Завантажити сертифікат")</f>
        <v>Завантажити сертифікат</v>
      </c>
    </row>
    <row r="1664" spans="1:6" x14ac:dyDescent="0.3">
      <c r="A1664" s="2">
        <v>1663</v>
      </c>
      <c r="B1664" s="1" t="s">
        <v>3522</v>
      </c>
      <c r="C1664" s="1" t="s">
        <v>3511</v>
      </c>
      <c r="D1664" s="1" t="s">
        <v>3512</v>
      </c>
      <c r="E1664" s="1" t="s">
        <v>3523</v>
      </c>
      <c r="F1664" s="1" t="str">
        <f>HYPERLINK("https://talan.bank.gov.ua/get-user-certificate/J5325LVL0GhxvLz_wC5O","Завантажити сертифікат")</f>
        <v>Завантажити сертифікат</v>
      </c>
    </row>
    <row r="1665" spans="1:6" x14ac:dyDescent="0.3">
      <c r="A1665" s="2">
        <v>1664</v>
      </c>
      <c r="B1665" s="1" t="s">
        <v>3524</v>
      </c>
      <c r="C1665" s="1" t="s">
        <v>3511</v>
      </c>
      <c r="D1665" s="1" t="s">
        <v>3512</v>
      </c>
      <c r="E1665" s="1" t="s">
        <v>3525</v>
      </c>
      <c r="F1665" s="1" t="str">
        <f>HYPERLINK("https://talan.bank.gov.ua/get-user-certificate/J5325b6PBbdXx00Tf0Kd","Завантажити сертифікат")</f>
        <v>Завантажити сертифікат</v>
      </c>
    </row>
    <row r="1666" spans="1:6" x14ac:dyDescent="0.3">
      <c r="A1666" s="2">
        <v>1665</v>
      </c>
      <c r="B1666" s="1" t="s">
        <v>3526</v>
      </c>
      <c r="C1666" s="1" t="s">
        <v>3511</v>
      </c>
      <c r="D1666" s="1" t="s">
        <v>3512</v>
      </c>
      <c r="E1666" s="1" t="s">
        <v>3527</v>
      </c>
      <c r="F1666" s="1" t="str">
        <f>HYPERLINK("https://talan.bank.gov.ua/get-user-certificate/J5325L7Ee9OTUsu5aMYi","Завантажити сертифікат")</f>
        <v>Завантажити сертифікат</v>
      </c>
    </row>
    <row r="1667" spans="1:6" x14ac:dyDescent="0.3">
      <c r="A1667" s="2">
        <v>1666</v>
      </c>
      <c r="B1667" s="1" t="s">
        <v>3528</v>
      </c>
      <c r="C1667" s="1" t="s">
        <v>3511</v>
      </c>
      <c r="D1667" s="1" t="s">
        <v>3512</v>
      </c>
      <c r="E1667" s="1" t="s">
        <v>3529</v>
      </c>
      <c r="F1667" s="1" t="str">
        <f>HYPERLINK("https://talan.bank.gov.ua/get-user-certificate/J5325ApIIU8JEnayy2PG","Завантажити сертифікат")</f>
        <v>Завантажити сертифікат</v>
      </c>
    </row>
    <row r="1668" spans="1:6" x14ac:dyDescent="0.3">
      <c r="A1668" s="2">
        <v>1667</v>
      </c>
      <c r="B1668" s="1" t="s">
        <v>3530</v>
      </c>
      <c r="C1668" s="1" t="s">
        <v>3511</v>
      </c>
      <c r="D1668" s="1" t="s">
        <v>3512</v>
      </c>
      <c r="E1668" s="1" t="s">
        <v>3531</v>
      </c>
      <c r="F1668" s="1" t="str">
        <f>HYPERLINK("https://talan.bank.gov.ua/get-user-certificate/J5325uQ0dSu299twNWpN","Завантажити сертифікат")</f>
        <v>Завантажити сертифікат</v>
      </c>
    </row>
    <row r="1669" spans="1:6" x14ac:dyDescent="0.3">
      <c r="A1669" s="2">
        <v>1668</v>
      </c>
      <c r="B1669" s="1" t="s">
        <v>3532</v>
      </c>
      <c r="C1669" s="1" t="s">
        <v>3511</v>
      </c>
      <c r="D1669" s="1" t="s">
        <v>3512</v>
      </c>
      <c r="E1669" s="1" t="s">
        <v>3533</v>
      </c>
      <c r="F1669" s="1" t="str">
        <f>HYPERLINK("https://talan.bank.gov.ua/get-user-certificate/J5325lXxoczfgy0UsMJp","Завантажити сертифікат")</f>
        <v>Завантажити сертифікат</v>
      </c>
    </row>
    <row r="1670" spans="1:6" x14ac:dyDescent="0.3">
      <c r="A1670" s="2">
        <v>1669</v>
      </c>
      <c r="B1670" s="1" t="s">
        <v>3534</v>
      </c>
      <c r="C1670" s="1" t="s">
        <v>3511</v>
      </c>
      <c r="D1670" s="1" t="s">
        <v>3512</v>
      </c>
      <c r="E1670" s="1" t="s">
        <v>3535</v>
      </c>
      <c r="F1670" s="1" t="str">
        <f>HYPERLINK("https://talan.bank.gov.ua/get-user-certificate/J532502NAJL1ntYDyUet","Завантажити сертифікат")</f>
        <v>Завантажити сертифікат</v>
      </c>
    </row>
    <row r="1671" spans="1:6" x14ac:dyDescent="0.3">
      <c r="A1671" s="2">
        <v>1670</v>
      </c>
      <c r="B1671" s="1" t="s">
        <v>3536</v>
      </c>
      <c r="C1671" s="1" t="s">
        <v>3511</v>
      </c>
      <c r="D1671" s="1" t="s">
        <v>3512</v>
      </c>
      <c r="E1671" s="1" t="s">
        <v>3537</v>
      </c>
      <c r="F1671" s="1" t="str">
        <f>HYPERLINK("https://talan.bank.gov.ua/get-user-certificate/J5325GShlV6cLf_qRWKZ","Завантажити сертифікат")</f>
        <v>Завантажити сертифікат</v>
      </c>
    </row>
    <row r="1672" spans="1:6" x14ac:dyDescent="0.3">
      <c r="A1672" s="2">
        <v>1671</v>
      </c>
      <c r="B1672" s="1" t="s">
        <v>3538</v>
      </c>
      <c r="C1672" s="1" t="s">
        <v>3511</v>
      </c>
      <c r="D1672" s="1" t="s">
        <v>3512</v>
      </c>
      <c r="E1672" s="1" t="s">
        <v>3539</v>
      </c>
      <c r="F1672" s="1" t="str">
        <f>HYPERLINK("https://talan.bank.gov.ua/get-user-certificate/J5325Um6t2wMk4LGMFse","Завантажити сертифікат")</f>
        <v>Завантажити сертифікат</v>
      </c>
    </row>
    <row r="1673" spans="1:6" x14ac:dyDescent="0.3">
      <c r="A1673" s="2">
        <v>1672</v>
      </c>
      <c r="B1673" s="1" t="s">
        <v>3540</v>
      </c>
      <c r="C1673" s="1" t="s">
        <v>3511</v>
      </c>
      <c r="D1673" s="1" t="s">
        <v>3512</v>
      </c>
      <c r="E1673" s="1" t="s">
        <v>3541</v>
      </c>
      <c r="F1673" s="1" t="str">
        <f>HYPERLINK("https://talan.bank.gov.ua/get-user-certificate/J5325coDTBkXHGQ_Kxs2","Завантажити сертифікат")</f>
        <v>Завантажити сертифікат</v>
      </c>
    </row>
    <row r="1674" spans="1:6" x14ac:dyDescent="0.3">
      <c r="A1674" s="2">
        <v>1673</v>
      </c>
      <c r="B1674" s="1" t="s">
        <v>3542</v>
      </c>
      <c r="C1674" s="1" t="s">
        <v>3511</v>
      </c>
      <c r="D1674" s="1" t="s">
        <v>3512</v>
      </c>
      <c r="E1674" s="1" t="s">
        <v>3543</v>
      </c>
      <c r="F1674" s="1" t="str">
        <f>HYPERLINK("https://talan.bank.gov.ua/get-user-certificate/J5325WUHWx-_xNGgeN1H","Завантажити сертифікат")</f>
        <v>Завантажити сертифікат</v>
      </c>
    </row>
    <row r="1675" spans="1:6" x14ac:dyDescent="0.3">
      <c r="A1675" s="2">
        <v>1674</v>
      </c>
      <c r="B1675" s="1" t="s">
        <v>3544</v>
      </c>
      <c r="C1675" s="1" t="s">
        <v>3511</v>
      </c>
      <c r="D1675" s="1" t="s">
        <v>3512</v>
      </c>
      <c r="E1675" s="1" t="s">
        <v>3545</v>
      </c>
      <c r="F1675" s="1" t="str">
        <f>HYPERLINK("https://talan.bank.gov.ua/get-user-certificate/J5325BQl_gtAWwZ3pnPg","Завантажити сертифікат")</f>
        <v>Завантажити сертифікат</v>
      </c>
    </row>
    <row r="1676" spans="1:6" x14ac:dyDescent="0.3">
      <c r="A1676" s="2">
        <v>1675</v>
      </c>
      <c r="B1676" s="1" t="s">
        <v>3546</v>
      </c>
      <c r="C1676" s="1" t="s">
        <v>3511</v>
      </c>
      <c r="D1676" s="1" t="s">
        <v>3512</v>
      </c>
      <c r="E1676" s="1" t="s">
        <v>3547</v>
      </c>
      <c r="F1676" s="1" t="str">
        <f>HYPERLINK("https://talan.bank.gov.ua/get-user-certificate/J53251Unk2ZqJ3SSDoXf","Завантажити сертифікат")</f>
        <v>Завантажити сертифікат</v>
      </c>
    </row>
    <row r="1677" spans="1:6" x14ac:dyDescent="0.3">
      <c r="A1677" s="2">
        <v>1676</v>
      </c>
      <c r="B1677" s="1" t="s">
        <v>3548</v>
      </c>
      <c r="C1677" s="1" t="s">
        <v>3511</v>
      </c>
      <c r="D1677" s="1" t="s">
        <v>3512</v>
      </c>
      <c r="E1677" s="1" t="s">
        <v>3549</v>
      </c>
      <c r="F1677" s="1" t="str">
        <f>HYPERLINK("https://talan.bank.gov.ua/get-user-certificate/J5325KMIJRBNrkes6Sz7","Завантажити сертифікат")</f>
        <v>Завантажити сертифікат</v>
      </c>
    </row>
    <row r="1678" spans="1:6" ht="28.8" x14ac:dyDescent="0.3">
      <c r="A1678" s="2">
        <v>1677</v>
      </c>
      <c r="B1678" s="1" t="s">
        <v>3550</v>
      </c>
      <c r="C1678" s="1" t="s">
        <v>3551</v>
      </c>
      <c r="D1678" s="1" t="s">
        <v>3552</v>
      </c>
      <c r="E1678" s="1" t="s">
        <v>3553</v>
      </c>
      <c r="F1678" s="1" t="str">
        <f>HYPERLINK("https://talan.bank.gov.ua/get-user-certificate/J5325ka7ziZuxSI_a5Hg","Завантажити сертифікат")</f>
        <v>Завантажити сертифікат</v>
      </c>
    </row>
    <row r="1679" spans="1:6" ht="28.8" x14ac:dyDescent="0.3">
      <c r="A1679" s="2">
        <v>1678</v>
      </c>
      <c r="B1679" s="1" t="s">
        <v>3554</v>
      </c>
      <c r="C1679" s="1" t="s">
        <v>3551</v>
      </c>
      <c r="D1679" s="1" t="s">
        <v>3552</v>
      </c>
      <c r="E1679" s="1" t="s">
        <v>3555</v>
      </c>
      <c r="F1679" s="1" t="str">
        <f>HYPERLINK("https://talan.bank.gov.ua/get-user-certificate/J5325IeZG36Q_O2vXwxT","Завантажити сертифікат")</f>
        <v>Завантажити сертифікат</v>
      </c>
    </row>
    <row r="1680" spans="1:6" ht="28.8" x14ac:dyDescent="0.3">
      <c r="A1680" s="2">
        <v>1679</v>
      </c>
      <c r="B1680" s="1" t="s">
        <v>3556</v>
      </c>
      <c r="C1680" s="1" t="s">
        <v>3551</v>
      </c>
      <c r="D1680" s="1" t="s">
        <v>3552</v>
      </c>
      <c r="E1680" s="1" t="s">
        <v>3557</v>
      </c>
      <c r="F1680" s="1" t="str">
        <f>HYPERLINK("https://talan.bank.gov.ua/get-user-certificate/J5325Vw_Yj3RK1B7mmzP","Завантажити сертифікат")</f>
        <v>Завантажити сертифікат</v>
      </c>
    </row>
    <row r="1681" spans="1:6" ht="28.8" x14ac:dyDescent="0.3">
      <c r="A1681" s="2">
        <v>1680</v>
      </c>
      <c r="B1681" s="1" t="s">
        <v>3558</v>
      </c>
      <c r="C1681" s="1" t="s">
        <v>3551</v>
      </c>
      <c r="D1681" s="1" t="s">
        <v>3552</v>
      </c>
      <c r="E1681" s="1" t="s">
        <v>3559</v>
      </c>
      <c r="F1681" s="1" t="str">
        <f>HYPERLINK("https://talan.bank.gov.ua/get-user-certificate/J5325PsJO3vCt5k-gAy0","Завантажити сертифікат")</f>
        <v>Завантажити сертифікат</v>
      </c>
    </row>
    <row r="1682" spans="1:6" ht="28.8" x14ac:dyDescent="0.3">
      <c r="A1682" s="2">
        <v>1681</v>
      </c>
      <c r="B1682" s="1" t="s">
        <v>3560</v>
      </c>
      <c r="C1682" s="1" t="s">
        <v>3551</v>
      </c>
      <c r="D1682" s="1" t="s">
        <v>3552</v>
      </c>
      <c r="E1682" s="1" t="s">
        <v>3561</v>
      </c>
      <c r="F1682" s="1" t="str">
        <f>HYPERLINK("https://talan.bank.gov.ua/get-user-certificate/J53257C0ZS0ySwMeSbvp","Завантажити сертифікат")</f>
        <v>Завантажити сертифікат</v>
      </c>
    </row>
    <row r="1683" spans="1:6" ht="28.8" x14ac:dyDescent="0.3">
      <c r="A1683" s="2">
        <v>1682</v>
      </c>
      <c r="B1683" s="1" t="s">
        <v>3562</v>
      </c>
      <c r="C1683" s="1" t="s">
        <v>3551</v>
      </c>
      <c r="D1683" s="1" t="s">
        <v>3552</v>
      </c>
      <c r="E1683" s="1" t="s">
        <v>3563</v>
      </c>
      <c r="F1683" s="1" t="str">
        <f>HYPERLINK("https://talan.bank.gov.ua/get-user-certificate/J5325Iz8Peglmjvk13dN","Завантажити сертифікат")</f>
        <v>Завантажити сертифікат</v>
      </c>
    </row>
    <row r="1684" spans="1:6" ht="28.8" x14ac:dyDescent="0.3">
      <c r="A1684" s="2">
        <v>1683</v>
      </c>
      <c r="B1684" s="1" t="s">
        <v>3564</v>
      </c>
      <c r="C1684" s="1" t="s">
        <v>3551</v>
      </c>
      <c r="D1684" s="1" t="s">
        <v>3552</v>
      </c>
      <c r="E1684" s="1" t="s">
        <v>3565</v>
      </c>
      <c r="F1684" s="1" t="str">
        <f>HYPERLINK("https://talan.bank.gov.ua/get-user-certificate/J5325c7tU_O3znNR7yi4","Завантажити сертифікат")</f>
        <v>Завантажити сертифікат</v>
      </c>
    </row>
    <row r="1685" spans="1:6" ht="28.8" x14ac:dyDescent="0.3">
      <c r="A1685" s="2">
        <v>1684</v>
      </c>
      <c r="B1685" s="1" t="s">
        <v>3566</v>
      </c>
      <c r="C1685" s="1" t="s">
        <v>3551</v>
      </c>
      <c r="D1685" s="1" t="s">
        <v>3552</v>
      </c>
      <c r="E1685" s="1" t="s">
        <v>3567</v>
      </c>
      <c r="F1685" s="1" t="str">
        <f>HYPERLINK("https://talan.bank.gov.ua/get-user-certificate/J5325PrzAkMvNHYgCqdC","Завантажити сертифікат")</f>
        <v>Завантажити сертифікат</v>
      </c>
    </row>
    <row r="1686" spans="1:6" ht="28.8" x14ac:dyDescent="0.3">
      <c r="A1686" s="2">
        <v>1685</v>
      </c>
      <c r="B1686" s="1" t="s">
        <v>3568</v>
      </c>
      <c r="C1686" s="1" t="s">
        <v>3551</v>
      </c>
      <c r="D1686" s="1" t="s">
        <v>3552</v>
      </c>
      <c r="E1686" s="1" t="s">
        <v>3569</v>
      </c>
      <c r="F1686" s="1" t="str">
        <f>HYPERLINK("https://talan.bank.gov.ua/get-user-certificate/J5325gdEqTdeV10cLed0","Завантажити сертифікат")</f>
        <v>Завантажити сертифікат</v>
      </c>
    </row>
    <row r="1687" spans="1:6" ht="28.8" x14ac:dyDescent="0.3">
      <c r="A1687" s="2">
        <v>1686</v>
      </c>
      <c r="B1687" s="1" t="s">
        <v>3570</v>
      </c>
      <c r="C1687" s="1" t="s">
        <v>3551</v>
      </c>
      <c r="D1687" s="1" t="s">
        <v>3552</v>
      </c>
      <c r="E1687" s="1" t="s">
        <v>3571</v>
      </c>
      <c r="F1687" s="1" t="str">
        <f>HYPERLINK("https://talan.bank.gov.ua/get-user-certificate/J5325sWIyi0tkicKIvsT","Завантажити сертифікат")</f>
        <v>Завантажити сертифікат</v>
      </c>
    </row>
    <row r="1688" spans="1:6" ht="28.8" x14ac:dyDescent="0.3">
      <c r="A1688" s="2">
        <v>1687</v>
      </c>
      <c r="B1688" s="1" t="s">
        <v>3572</v>
      </c>
      <c r="C1688" s="1" t="s">
        <v>3551</v>
      </c>
      <c r="D1688" s="1" t="s">
        <v>3552</v>
      </c>
      <c r="E1688" s="1" t="s">
        <v>3573</v>
      </c>
      <c r="F1688" s="1" t="str">
        <f>HYPERLINK("https://talan.bank.gov.ua/get-user-certificate/J5325Uih0AE3R1ZpF3hj","Завантажити сертифікат")</f>
        <v>Завантажити сертифікат</v>
      </c>
    </row>
    <row r="1689" spans="1:6" ht="28.8" x14ac:dyDescent="0.3">
      <c r="A1689" s="2">
        <v>1688</v>
      </c>
      <c r="B1689" s="1" t="s">
        <v>3574</v>
      </c>
      <c r="C1689" s="1" t="s">
        <v>3551</v>
      </c>
      <c r="D1689" s="1" t="s">
        <v>3552</v>
      </c>
      <c r="E1689" s="1" t="s">
        <v>3575</v>
      </c>
      <c r="F1689" s="1" t="str">
        <f>HYPERLINK("https://talan.bank.gov.ua/get-user-certificate/J5325WmjNcvzh3OAZh_P","Завантажити сертифікат")</f>
        <v>Завантажити сертифікат</v>
      </c>
    </row>
    <row r="1690" spans="1:6" ht="28.8" x14ac:dyDescent="0.3">
      <c r="A1690" s="2">
        <v>1689</v>
      </c>
      <c r="B1690" s="1" t="s">
        <v>3576</v>
      </c>
      <c r="C1690" s="1" t="s">
        <v>3551</v>
      </c>
      <c r="D1690" s="1" t="s">
        <v>3552</v>
      </c>
      <c r="E1690" s="1" t="s">
        <v>3577</v>
      </c>
      <c r="F1690" s="1" t="str">
        <f>HYPERLINK("https://talan.bank.gov.ua/get-user-certificate/J5325mF_SBg0SEE0SXHv","Завантажити сертифікат")</f>
        <v>Завантажити сертифікат</v>
      </c>
    </row>
    <row r="1691" spans="1:6" ht="28.8" x14ac:dyDescent="0.3">
      <c r="A1691" s="2">
        <v>1690</v>
      </c>
      <c r="B1691" s="1" t="s">
        <v>3578</v>
      </c>
      <c r="C1691" s="1" t="s">
        <v>3551</v>
      </c>
      <c r="D1691" s="1" t="s">
        <v>3552</v>
      </c>
      <c r="E1691" s="1" t="s">
        <v>3579</v>
      </c>
      <c r="F1691" s="1" t="str">
        <f>HYPERLINK("https://talan.bank.gov.ua/get-user-certificate/J5325RC91xRvaeD95-f9","Завантажити сертифікат")</f>
        <v>Завантажити сертифікат</v>
      </c>
    </row>
    <row r="1692" spans="1:6" ht="28.8" x14ac:dyDescent="0.3">
      <c r="A1692" s="2">
        <v>1691</v>
      </c>
      <c r="B1692" s="1" t="s">
        <v>3580</v>
      </c>
      <c r="C1692" s="1" t="s">
        <v>3551</v>
      </c>
      <c r="D1692" s="1" t="s">
        <v>3552</v>
      </c>
      <c r="E1692" s="1" t="s">
        <v>3581</v>
      </c>
      <c r="F1692" s="1" t="str">
        <f>HYPERLINK("https://talan.bank.gov.ua/get-user-certificate/J5325aFj2dBpQ_he9q0g","Завантажити сертифікат")</f>
        <v>Завантажити сертифікат</v>
      </c>
    </row>
    <row r="1693" spans="1:6" ht="28.8" x14ac:dyDescent="0.3">
      <c r="A1693" s="2">
        <v>1692</v>
      </c>
      <c r="B1693" s="1" t="s">
        <v>3582</v>
      </c>
      <c r="C1693" s="1" t="s">
        <v>3551</v>
      </c>
      <c r="D1693" s="1" t="s">
        <v>3552</v>
      </c>
      <c r="E1693" s="1" t="s">
        <v>3583</v>
      </c>
      <c r="F1693" s="1" t="str">
        <f>HYPERLINK("https://talan.bank.gov.ua/get-user-certificate/J5325DXmSA3yYdek7v9H","Завантажити сертифікат")</f>
        <v>Завантажити сертифікат</v>
      </c>
    </row>
    <row r="1694" spans="1:6" ht="28.8" x14ac:dyDescent="0.3">
      <c r="A1694" s="2">
        <v>1693</v>
      </c>
      <c r="B1694" s="1" t="s">
        <v>3584</v>
      </c>
      <c r="C1694" s="1" t="s">
        <v>3551</v>
      </c>
      <c r="D1694" s="1" t="s">
        <v>3552</v>
      </c>
      <c r="E1694" s="1" t="s">
        <v>3585</v>
      </c>
      <c r="F1694" s="1" t="str">
        <f>HYPERLINK("https://talan.bank.gov.ua/get-user-certificate/J5325QWW2lHC2ftq51kx","Завантажити сертифікат")</f>
        <v>Завантажити сертифікат</v>
      </c>
    </row>
    <row r="1695" spans="1:6" ht="28.8" x14ac:dyDescent="0.3">
      <c r="A1695" s="2">
        <v>1694</v>
      </c>
      <c r="B1695" s="1" t="s">
        <v>3586</v>
      </c>
      <c r="C1695" s="1" t="s">
        <v>3551</v>
      </c>
      <c r="D1695" s="1" t="s">
        <v>3552</v>
      </c>
      <c r="E1695" s="1" t="s">
        <v>3587</v>
      </c>
      <c r="F1695" s="1" t="str">
        <f>HYPERLINK("https://talan.bank.gov.ua/get-user-certificate/J5325BwFNwBsEgvbcBQd","Завантажити сертифікат")</f>
        <v>Завантажити сертифікат</v>
      </c>
    </row>
    <row r="1696" spans="1:6" ht="28.8" x14ac:dyDescent="0.3">
      <c r="A1696" s="2">
        <v>1695</v>
      </c>
      <c r="B1696" s="1" t="s">
        <v>3588</v>
      </c>
      <c r="C1696" s="1" t="s">
        <v>3551</v>
      </c>
      <c r="D1696" s="1" t="s">
        <v>3552</v>
      </c>
      <c r="E1696" s="1" t="s">
        <v>3589</v>
      </c>
      <c r="F1696" s="1" t="str">
        <f>HYPERLINK("https://talan.bank.gov.ua/get-user-certificate/J53258Ef2OvSc4xUGIR6","Завантажити сертифікат")</f>
        <v>Завантажити сертифікат</v>
      </c>
    </row>
    <row r="1697" spans="1:6" ht="28.8" x14ac:dyDescent="0.3">
      <c r="A1697" s="2">
        <v>1696</v>
      </c>
      <c r="B1697" s="1" t="s">
        <v>3590</v>
      </c>
      <c r="C1697" s="1" t="s">
        <v>3551</v>
      </c>
      <c r="D1697" s="1" t="s">
        <v>3552</v>
      </c>
      <c r="E1697" s="1" t="s">
        <v>3591</v>
      </c>
      <c r="F1697" s="1" t="str">
        <f>HYPERLINK("https://talan.bank.gov.ua/get-user-certificate/J5325DEDZpFtvBnl25pW","Завантажити сертифікат")</f>
        <v>Завантажити сертифікат</v>
      </c>
    </row>
    <row r="1698" spans="1:6" ht="43.2" x14ac:dyDescent="0.3">
      <c r="A1698" s="2">
        <v>1697</v>
      </c>
      <c r="B1698" s="1" t="s">
        <v>3592</v>
      </c>
      <c r="C1698" s="1" t="s">
        <v>3593</v>
      </c>
      <c r="D1698" s="1" t="s">
        <v>3594</v>
      </c>
      <c r="E1698" s="1" t="s">
        <v>3595</v>
      </c>
      <c r="F1698" s="1" t="str">
        <f>HYPERLINK("https://talan.bank.gov.ua/get-user-certificate/J5325qmS-akW_2K2tCmo","Завантажити сертифікат")</f>
        <v>Завантажити сертифікат</v>
      </c>
    </row>
    <row r="1699" spans="1:6" ht="43.2" x14ac:dyDescent="0.3">
      <c r="A1699" s="2">
        <v>1698</v>
      </c>
      <c r="B1699" s="1" t="s">
        <v>3596</v>
      </c>
      <c r="C1699" s="1" t="s">
        <v>3593</v>
      </c>
      <c r="D1699" s="1" t="s">
        <v>3594</v>
      </c>
      <c r="E1699" s="1" t="s">
        <v>3597</v>
      </c>
      <c r="F1699" s="1" t="str">
        <f>HYPERLINK("https://talan.bank.gov.ua/get-user-certificate/J5325IdQyQYpPApza9MU","Завантажити сертифікат")</f>
        <v>Завантажити сертифікат</v>
      </c>
    </row>
    <row r="1700" spans="1:6" ht="43.2" x14ac:dyDescent="0.3">
      <c r="A1700" s="2">
        <v>1699</v>
      </c>
      <c r="B1700" s="1" t="s">
        <v>3598</v>
      </c>
      <c r="C1700" s="1" t="s">
        <v>3599</v>
      </c>
      <c r="D1700" s="1" t="s">
        <v>3600</v>
      </c>
      <c r="E1700" s="1" t="s">
        <v>3601</v>
      </c>
      <c r="F1700" s="1" t="str">
        <f>HYPERLINK("https://talan.bank.gov.ua/get-user-certificate/J5325Sa8ekpTikrTFoJQ","Завантажити сертифікат")</f>
        <v>Завантажити сертифікат</v>
      </c>
    </row>
    <row r="1701" spans="1:6" ht="43.2" x14ac:dyDescent="0.3">
      <c r="A1701" s="2">
        <v>1700</v>
      </c>
      <c r="B1701" s="1" t="s">
        <v>3602</v>
      </c>
      <c r="C1701" s="1" t="s">
        <v>3599</v>
      </c>
      <c r="D1701" s="1" t="s">
        <v>3600</v>
      </c>
      <c r="E1701" s="1" t="s">
        <v>3603</v>
      </c>
      <c r="F1701" s="1" t="str">
        <f>HYPERLINK("https://talan.bank.gov.ua/get-user-certificate/J5325q7c4fBvQLZ_PZZE","Завантажити сертифікат")</f>
        <v>Завантажити сертифікат</v>
      </c>
    </row>
    <row r="1702" spans="1:6" ht="28.8" x14ac:dyDescent="0.3">
      <c r="A1702" s="2">
        <v>1701</v>
      </c>
      <c r="B1702" s="1" t="s">
        <v>3604</v>
      </c>
      <c r="C1702" s="1" t="s">
        <v>3605</v>
      </c>
      <c r="D1702" s="1" t="s">
        <v>3606</v>
      </c>
      <c r="E1702" s="1" t="s">
        <v>3607</v>
      </c>
      <c r="F1702" s="1" t="str">
        <f>HYPERLINK("https://talan.bank.gov.ua/get-user-certificate/J5325ALDFX0RVBO5gVWB","Завантажити сертифікат")</f>
        <v>Завантажити сертифікат</v>
      </c>
    </row>
    <row r="1703" spans="1:6" ht="28.8" x14ac:dyDescent="0.3">
      <c r="A1703" s="2">
        <v>1702</v>
      </c>
      <c r="B1703" s="1" t="s">
        <v>3608</v>
      </c>
      <c r="C1703" s="1" t="s">
        <v>3605</v>
      </c>
      <c r="D1703" s="1" t="s">
        <v>3606</v>
      </c>
      <c r="E1703" s="1" t="s">
        <v>3609</v>
      </c>
      <c r="F1703" s="1" t="str">
        <f>HYPERLINK("https://talan.bank.gov.ua/get-user-certificate/J5325Xy30C6GGAJHemgV","Завантажити сертифікат")</f>
        <v>Завантажити сертифікат</v>
      </c>
    </row>
    <row r="1704" spans="1:6" ht="28.8" x14ac:dyDescent="0.3">
      <c r="A1704" s="2">
        <v>1703</v>
      </c>
      <c r="B1704" s="1" t="s">
        <v>3610</v>
      </c>
      <c r="C1704" s="1" t="s">
        <v>3605</v>
      </c>
      <c r="D1704" s="1" t="s">
        <v>3606</v>
      </c>
      <c r="E1704" s="1" t="s">
        <v>3611</v>
      </c>
      <c r="F1704" s="1" t="str">
        <f>HYPERLINK("https://talan.bank.gov.ua/get-user-certificate/J5325QBqaWihuQod-t0H","Завантажити сертифікат")</f>
        <v>Завантажити сертифікат</v>
      </c>
    </row>
    <row r="1705" spans="1:6" ht="28.8" x14ac:dyDescent="0.3">
      <c r="A1705" s="2">
        <v>1704</v>
      </c>
      <c r="B1705" s="1" t="s">
        <v>3612</v>
      </c>
      <c r="C1705" s="1" t="s">
        <v>3605</v>
      </c>
      <c r="D1705" s="1" t="s">
        <v>3606</v>
      </c>
      <c r="E1705" s="1" t="s">
        <v>3613</v>
      </c>
      <c r="F1705" s="1" t="str">
        <f>HYPERLINK("https://talan.bank.gov.ua/get-user-certificate/J5325VRD8DQnw00GqHZc","Завантажити сертифікат")</f>
        <v>Завантажити сертифікат</v>
      </c>
    </row>
    <row r="1706" spans="1:6" ht="28.8" x14ac:dyDescent="0.3">
      <c r="A1706" s="2">
        <v>1705</v>
      </c>
      <c r="B1706" s="1" t="s">
        <v>3614</v>
      </c>
      <c r="C1706" s="1" t="s">
        <v>3605</v>
      </c>
      <c r="D1706" s="1" t="s">
        <v>3606</v>
      </c>
      <c r="E1706" s="1" t="s">
        <v>3615</v>
      </c>
      <c r="F1706" s="1" t="str">
        <f>HYPERLINK("https://talan.bank.gov.ua/get-user-certificate/J53257qWApjb7_obXG5_","Завантажити сертифікат")</f>
        <v>Завантажити сертифікат</v>
      </c>
    </row>
    <row r="1707" spans="1:6" ht="28.8" x14ac:dyDescent="0.3">
      <c r="A1707" s="2">
        <v>1706</v>
      </c>
      <c r="B1707" s="1" t="s">
        <v>3616</v>
      </c>
      <c r="C1707" s="1" t="s">
        <v>3605</v>
      </c>
      <c r="D1707" s="1" t="s">
        <v>3606</v>
      </c>
      <c r="E1707" s="1" t="s">
        <v>3617</v>
      </c>
      <c r="F1707" s="1" t="str">
        <f>HYPERLINK("https://talan.bank.gov.ua/get-user-certificate/J5325JdjBQlxHTBCGvB7","Завантажити сертифікат")</f>
        <v>Завантажити сертифікат</v>
      </c>
    </row>
    <row r="1708" spans="1:6" ht="28.8" x14ac:dyDescent="0.3">
      <c r="A1708" s="2">
        <v>1707</v>
      </c>
      <c r="B1708" s="1" t="s">
        <v>3618</v>
      </c>
      <c r="C1708" s="1" t="s">
        <v>3605</v>
      </c>
      <c r="D1708" s="1" t="s">
        <v>3606</v>
      </c>
      <c r="E1708" s="1" t="s">
        <v>3619</v>
      </c>
      <c r="F1708" s="1" t="str">
        <f>HYPERLINK("https://talan.bank.gov.ua/get-user-certificate/J5325uYQvCs4qlisaMy0","Завантажити сертифікат")</f>
        <v>Завантажити сертифікат</v>
      </c>
    </row>
    <row r="1709" spans="1:6" ht="28.8" x14ac:dyDescent="0.3">
      <c r="A1709" s="2">
        <v>1708</v>
      </c>
      <c r="B1709" s="1" t="s">
        <v>3620</v>
      </c>
      <c r="C1709" s="1" t="s">
        <v>3605</v>
      </c>
      <c r="D1709" s="1" t="s">
        <v>3606</v>
      </c>
      <c r="E1709" s="1" t="s">
        <v>3621</v>
      </c>
      <c r="F1709" s="1" t="str">
        <f>HYPERLINK("https://talan.bank.gov.ua/get-user-certificate/J53250EcjbyLU1L_3LGy","Завантажити сертифікат")</f>
        <v>Завантажити сертифікат</v>
      </c>
    </row>
    <row r="1710" spans="1:6" ht="28.8" x14ac:dyDescent="0.3">
      <c r="A1710" s="2">
        <v>1709</v>
      </c>
      <c r="B1710" s="1" t="s">
        <v>3622</v>
      </c>
      <c r="C1710" s="1" t="s">
        <v>3605</v>
      </c>
      <c r="D1710" s="1" t="s">
        <v>3606</v>
      </c>
      <c r="E1710" s="1" t="s">
        <v>3623</v>
      </c>
      <c r="F1710" s="1" t="str">
        <f>HYPERLINK("https://talan.bank.gov.ua/get-user-certificate/J5325QW7fSBtRuORfWuU","Завантажити сертифікат")</f>
        <v>Завантажити сертифікат</v>
      </c>
    </row>
    <row r="1711" spans="1:6" ht="28.8" x14ac:dyDescent="0.3">
      <c r="A1711" s="2">
        <v>1710</v>
      </c>
      <c r="B1711" s="1" t="s">
        <v>3624</v>
      </c>
      <c r="C1711" s="1" t="s">
        <v>3605</v>
      </c>
      <c r="D1711" s="1" t="s">
        <v>3606</v>
      </c>
      <c r="E1711" s="1" t="s">
        <v>3625</v>
      </c>
      <c r="F1711" s="1" t="str">
        <f>HYPERLINK("https://talan.bank.gov.ua/get-user-certificate/J5325EFeBBdrHiOUNNe_","Завантажити сертифікат")</f>
        <v>Завантажити сертифікат</v>
      </c>
    </row>
    <row r="1712" spans="1:6" ht="28.8" x14ac:dyDescent="0.3">
      <c r="A1712" s="2">
        <v>1711</v>
      </c>
      <c r="B1712" s="1" t="s">
        <v>3626</v>
      </c>
      <c r="C1712" s="1" t="s">
        <v>3605</v>
      </c>
      <c r="D1712" s="1" t="s">
        <v>3606</v>
      </c>
      <c r="E1712" s="1" t="s">
        <v>3627</v>
      </c>
      <c r="F1712" s="1" t="str">
        <f>HYPERLINK("https://talan.bank.gov.ua/get-user-certificate/J5325NvlwX4CSXY_fzN6","Завантажити сертифікат")</f>
        <v>Завантажити сертифікат</v>
      </c>
    </row>
    <row r="1713" spans="1:6" ht="28.8" x14ac:dyDescent="0.3">
      <c r="A1713" s="2">
        <v>1712</v>
      </c>
      <c r="B1713" s="1" t="s">
        <v>3628</v>
      </c>
      <c r="C1713" s="1" t="s">
        <v>3605</v>
      </c>
      <c r="D1713" s="1" t="s">
        <v>3606</v>
      </c>
      <c r="E1713" s="1" t="s">
        <v>3629</v>
      </c>
      <c r="F1713" s="1" t="str">
        <f>HYPERLINK("https://talan.bank.gov.ua/get-user-certificate/J5325BAbGfRmqXPwwGpm","Завантажити сертифікат")</f>
        <v>Завантажити сертифікат</v>
      </c>
    </row>
    <row r="1714" spans="1:6" ht="28.8" x14ac:dyDescent="0.3">
      <c r="A1714" s="2">
        <v>1713</v>
      </c>
      <c r="B1714" s="1" t="s">
        <v>3630</v>
      </c>
      <c r="C1714" s="1" t="s">
        <v>3605</v>
      </c>
      <c r="D1714" s="1" t="s">
        <v>3606</v>
      </c>
      <c r="E1714" s="1" t="s">
        <v>3631</v>
      </c>
      <c r="F1714" s="1" t="str">
        <f>HYPERLINK("https://talan.bank.gov.ua/get-user-certificate/J53251NEWsLwa4MlYJMf","Завантажити сертифікат")</f>
        <v>Завантажити сертифікат</v>
      </c>
    </row>
    <row r="1715" spans="1:6" ht="28.8" x14ac:dyDescent="0.3">
      <c r="A1715" s="2">
        <v>1714</v>
      </c>
      <c r="B1715" s="1" t="s">
        <v>3632</v>
      </c>
      <c r="C1715" s="1" t="s">
        <v>3605</v>
      </c>
      <c r="D1715" s="1" t="s">
        <v>3606</v>
      </c>
      <c r="E1715" s="1" t="s">
        <v>3633</v>
      </c>
      <c r="F1715" s="1" t="str">
        <f>HYPERLINK("https://talan.bank.gov.ua/get-user-certificate/J5325K1Ix2LiFq3J5FTO","Завантажити сертифікат")</f>
        <v>Завантажити сертифікат</v>
      </c>
    </row>
    <row r="1716" spans="1:6" ht="28.8" x14ac:dyDescent="0.3">
      <c r="A1716" s="2">
        <v>1715</v>
      </c>
      <c r="B1716" s="1" t="s">
        <v>3634</v>
      </c>
      <c r="C1716" s="1" t="s">
        <v>3605</v>
      </c>
      <c r="D1716" s="1" t="s">
        <v>3606</v>
      </c>
      <c r="E1716" s="1" t="s">
        <v>3635</v>
      </c>
      <c r="F1716" s="1" t="str">
        <f>HYPERLINK("https://talan.bank.gov.ua/get-user-certificate/J5325zPLyJgPV7hH9y3r","Завантажити сертифікат")</f>
        <v>Завантажити сертифікат</v>
      </c>
    </row>
    <row r="1717" spans="1:6" ht="28.8" x14ac:dyDescent="0.3">
      <c r="A1717" s="2">
        <v>1716</v>
      </c>
      <c r="B1717" s="1" t="s">
        <v>3636</v>
      </c>
      <c r="C1717" s="1" t="s">
        <v>3605</v>
      </c>
      <c r="D1717" s="1" t="s">
        <v>3606</v>
      </c>
      <c r="E1717" s="1" t="s">
        <v>3637</v>
      </c>
      <c r="F1717" s="1" t="str">
        <f>HYPERLINK("https://talan.bank.gov.ua/get-user-certificate/J5325t5eNxLhoz_cRfAW","Завантажити сертифікат")</f>
        <v>Завантажити сертифікат</v>
      </c>
    </row>
    <row r="1718" spans="1:6" ht="28.8" x14ac:dyDescent="0.3">
      <c r="A1718" s="2">
        <v>1717</v>
      </c>
      <c r="B1718" s="1" t="s">
        <v>3638</v>
      </c>
      <c r="C1718" s="1" t="s">
        <v>3639</v>
      </c>
      <c r="D1718" s="1" t="s">
        <v>3640</v>
      </c>
      <c r="E1718" s="1" t="s">
        <v>3641</v>
      </c>
      <c r="F1718" s="1" t="str">
        <f>HYPERLINK("https://talan.bank.gov.ua/get-user-certificate/J5325itL_Li7I-xAUTsU","Завантажити сертифікат")</f>
        <v>Завантажити сертифікат</v>
      </c>
    </row>
    <row r="1719" spans="1:6" ht="28.8" x14ac:dyDescent="0.3">
      <c r="A1719" s="2">
        <v>1718</v>
      </c>
      <c r="B1719" s="1" t="s">
        <v>3642</v>
      </c>
      <c r="C1719" s="1" t="s">
        <v>3639</v>
      </c>
      <c r="D1719" s="1" t="s">
        <v>3640</v>
      </c>
      <c r="E1719" s="1" t="s">
        <v>3643</v>
      </c>
      <c r="F1719" s="1" t="str">
        <f>HYPERLINK("https://talan.bank.gov.ua/get-user-certificate/J5325xTZePHe14ACszgG","Завантажити сертифікат")</f>
        <v>Завантажити сертифікат</v>
      </c>
    </row>
    <row r="1720" spans="1:6" ht="43.2" x14ac:dyDescent="0.3">
      <c r="A1720" s="2">
        <v>1719</v>
      </c>
      <c r="B1720" s="1" t="s">
        <v>3644</v>
      </c>
      <c r="C1720" s="1" t="s">
        <v>3645</v>
      </c>
      <c r="D1720" s="1" t="s">
        <v>3646</v>
      </c>
      <c r="E1720" s="1" t="s">
        <v>3647</v>
      </c>
      <c r="F1720" s="1" t="str">
        <f>HYPERLINK("https://talan.bank.gov.ua/get-user-certificate/J5325YMScfuQihp8Kb9H","Завантажити сертифікат")</f>
        <v>Завантажити сертифікат</v>
      </c>
    </row>
    <row r="1721" spans="1:6" ht="43.2" x14ac:dyDescent="0.3">
      <c r="A1721" s="2">
        <v>1720</v>
      </c>
      <c r="B1721" s="1" t="s">
        <v>3648</v>
      </c>
      <c r="C1721" s="1" t="s">
        <v>3645</v>
      </c>
      <c r="D1721" s="1" t="s">
        <v>3646</v>
      </c>
      <c r="E1721" s="1" t="s">
        <v>3649</v>
      </c>
      <c r="F1721" s="1" t="str">
        <f>HYPERLINK("https://talan.bank.gov.ua/get-user-certificate/J5325ekzcDH_Y0_6VHia","Завантажити сертифікат")</f>
        <v>Завантажити сертифікат</v>
      </c>
    </row>
    <row r="1722" spans="1:6" ht="43.2" x14ac:dyDescent="0.3">
      <c r="A1722" s="2">
        <v>1721</v>
      </c>
      <c r="B1722" s="1" t="s">
        <v>3650</v>
      </c>
      <c r="C1722" s="1" t="s">
        <v>3645</v>
      </c>
      <c r="D1722" s="1" t="s">
        <v>3646</v>
      </c>
      <c r="E1722" s="1" t="s">
        <v>3651</v>
      </c>
      <c r="F1722" s="1" t="str">
        <f>HYPERLINK("https://talan.bank.gov.ua/get-user-certificate/J5325i2Qfhmv4KLIZxT1","Завантажити сертифікат")</f>
        <v>Завантажити сертифікат</v>
      </c>
    </row>
    <row r="1723" spans="1:6" ht="43.2" x14ac:dyDescent="0.3">
      <c r="A1723" s="2">
        <v>1722</v>
      </c>
      <c r="B1723" s="1" t="s">
        <v>3652</v>
      </c>
      <c r="C1723" s="1" t="s">
        <v>3645</v>
      </c>
      <c r="D1723" s="1" t="s">
        <v>3646</v>
      </c>
      <c r="E1723" s="1" t="s">
        <v>3653</v>
      </c>
      <c r="F1723" s="1" t="str">
        <f>HYPERLINK("https://talan.bank.gov.ua/get-user-certificate/J5325l9zPsQOZyt5lmws","Завантажити сертифікат")</f>
        <v>Завантажити сертифікат</v>
      </c>
    </row>
    <row r="1724" spans="1:6" ht="43.2" x14ac:dyDescent="0.3">
      <c r="A1724" s="2">
        <v>1723</v>
      </c>
      <c r="B1724" s="1" t="s">
        <v>3654</v>
      </c>
      <c r="C1724" s="1" t="s">
        <v>3645</v>
      </c>
      <c r="D1724" s="1" t="s">
        <v>3646</v>
      </c>
      <c r="E1724" s="1" t="s">
        <v>3655</v>
      </c>
      <c r="F1724" s="1" t="str">
        <f>HYPERLINK("https://talan.bank.gov.ua/get-user-certificate/J5325xfcQK8VmuaKfPlV","Завантажити сертифікат")</f>
        <v>Завантажити сертифікат</v>
      </c>
    </row>
    <row r="1725" spans="1:6" ht="43.2" x14ac:dyDescent="0.3">
      <c r="A1725" s="2">
        <v>1724</v>
      </c>
      <c r="B1725" s="1" t="s">
        <v>3656</v>
      </c>
      <c r="C1725" s="1" t="s">
        <v>3645</v>
      </c>
      <c r="D1725" s="1" t="s">
        <v>3646</v>
      </c>
      <c r="E1725" s="1" t="s">
        <v>3657</v>
      </c>
      <c r="F1725" s="1" t="str">
        <f>HYPERLINK("https://talan.bank.gov.ua/get-user-certificate/J5325gjNDTE72T2A_0ip","Завантажити сертифікат")</f>
        <v>Завантажити сертифікат</v>
      </c>
    </row>
    <row r="1726" spans="1:6" ht="43.2" x14ac:dyDescent="0.3">
      <c r="A1726" s="2">
        <v>1725</v>
      </c>
      <c r="B1726" s="1" t="s">
        <v>3658</v>
      </c>
      <c r="C1726" s="1" t="s">
        <v>3645</v>
      </c>
      <c r="D1726" s="1" t="s">
        <v>3646</v>
      </c>
      <c r="E1726" s="1" t="s">
        <v>3659</v>
      </c>
      <c r="F1726" s="1" t="str">
        <f>HYPERLINK("https://talan.bank.gov.ua/get-user-certificate/J5325yeALA7bwHkXz9d4","Завантажити сертифікат")</f>
        <v>Завантажити сертифікат</v>
      </c>
    </row>
    <row r="1727" spans="1:6" ht="43.2" x14ac:dyDescent="0.3">
      <c r="A1727" s="2">
        <v>1726</v>
      </c>
      <c r="B1727" s="1" t="s">
        <v>3660</v>
      </c>
      <c r="C1727" s="1" t="s">
        <v>3645</v>
      </c>
      <c r="D1727" s="1" t="s">
        <v>3646</v>
      </c>
      <c r="E1727" s="1" t="s">
        <v>3661</v>
      </c>
      <c r="F1727" s="1" t="str">
        <f>HYPERLINK("https://talan.bank.gov.ua/get-user-certificate/J5325W28PVL_yyiryUb4","Завантажити сертифікат")</f>
        <v>Завантажити сертифікат</v>
      </c>
    </row>
    <row r="1728" spans="1:6" ht="43.2" x14ac:dyDescent="0.3">
      <c r="A1728" s="2">
        <v>1727</v>
      </c>
      <c r="B1728" s="1" t="s">
        <v>3662</v>
      </c>
      <c r="C1728" s="1" t="s">
        <v>3645</v>
      </c>
      <c r="D1728" s="1" t="s">
        <v>3646</v>
      </c>
      <c r="E1728" s="1" t="s">
        <v>3663</v>
      </c>
      <c r="F1728" s="1" t="str">
        <f>HYPERLINK("https://talan.bank.gov.ua/get-user-certificate/J5325KlwKDVukC63t9hH","Завантажити сертифікат")</f>
        <v>Завантажити сертифікат</v>
      </c>
    </row>
    <row r="1729" spans="1:6" ht="43.2" x14ac:dyDescent="0.3">
      <c r="A1729" s="2">
        <v>1728</v>
      </c>
      <c r="B1729" s="1" t="s">
        <v>3664</v>
      </c>
      <c r="C1729" s="1" t="s">
        <v>3645</v>
      </c>
      <c r="D1729" s="1" t="s">
        <v>3646</v>
      </c>
      <c r="E1729" s="1" t="s">
        <v>3665</v>
      </c>
      <c r="F1729" s="1" t="str">
        <f>HYPERLINK("https://talan.bank.gov.ua/get-user-certificate/J5325Z2nI2BzDr23tF2a","Завантажити сертифікат")</f>
        <v>Завантажити сертифікат</v>
      </c>
    </row>
    <row r="1730" spans="1:6" ht="43.2" x14ac:dyDescent="0.3">
      <c r="A1730" s="2">
        <v>1729</v>
      </c>
      <c r="B1730" s="1" t="s">
        <v>3666</v>
      </c>
      <c r="C1730" s="1" t="s">
        <v>3645</v>
      </c>
      <c r="D1730" s="1" t="s">
        <v>3646</v>
      </c>
      <c r="E1730" s="1" t="s">
        <v>3667</v>
      </c>
      <c r="F1730" s="1" t="str">
        <f>HYPERLINK("https://talan.bank.gov.ua/get-user-certificate/J5325SvAFxmjs_7qacRS","Завантажити сертифікат")</f>
        <v>Завантажити сертифікат</v>
      </c>
    </row>
    <row r="1731" spans="1:6" ht="43.2" x14ac:dyDescent="0.3">
      <c r="A1731" s="2">
        <v>1730</v>
      </c>
      <c r="B1731" s="1" t="s">
        <v>3668</v>
      </c>
      <c r="C1731" s="1" t="s">
        <v>3645</v>
      </c>
      <c r="D1731" s="1" t="s">
        <v>3646</v>
      </c>
      <c r="E1731" s="1" t="s">
        <v>3669</v>
      </c>
      <c r="F1731" s="1" t="str">
        <f>HYPERLINK("https://talan.bank.gov.ua/get-user-certificate/J5325L2J3EnGMwV_xZ-L","Завантажити сертифікат")</f>
        <v>Завантажити сертифікат</v>
      </c>
    </row>
    <row r="1732" spans="1:6" ht="43.2" x14ac:dyDescent="0.3">
      <c r="A1732" s="2">
        <v>1731</v>
      </c>
      <c r="B1732" s="1" t="s">
        <v>3670</v>
      </c>
      <c r="C1732" s="1" t="s">
        <v>3645</v>
      </c>
      <c r="D1732" s="1" t="s">
        <v>3646</v>
      </c>
      <c r="E1732" s="1" t="s">
        <v>3671</v>
      </c>
      <c r="F1732" s="1" t="str">
        <f>HYPERLINK("https://talan.bank.gov.ua/get-user-certificate/J5325UL7FwrSRjuVuJ-N","Завантажити сертифікат")</f>
        <v>Завантажити сертифікат</v>
      </c>
    </row>
    <row r="1733" spans="1:6" ht="43.2" x14ac:dyDescent="0.3">
      <c r="A1733" s="2">
        <v>1732</v>
      </c>
      <c r="B1733" s="1" t="s">
        <v>3672</v>
      </c>
      <c r="C1733" s="1" t="s">
        <v>3645</v>
      </c>
      <c r="D1733" s="1" t="s">
        <v>3646</v>
      </c>
      <c r="E1733" s="1" t="s">
        <v>3673</v>
      </c>
      <c r="F1733" s="1" t="str">
        <f>HYPERLINK("https://talan.bank.gov.ua/get-user-certificate/J5325jLutiY-CGufAErT","Завантажити сертифікат")</f>
        <v>Завантажити сертифікат</v>
      </c>
    </row>
    <row r="1734" spans="1:6" ht="43.2" x14ac:dyDescent="0.3">
      <c r="A1734" s="2">
        <v>1733</v>
      </c>
      <c r="B1734" s="1" t="s">
        <v>3674</v>
      </c>
      <c r="C1734" s="1" t="s">
        <v>3645</v>
      </c>
      <c r="D1734" s="1" t="s">
        <v>3646</v>
      </c>
      <c r="E1734" s="1" t="s">
        <v>3675</v>
      </c>
      <c r="F1734" s="1" t="str">
        <f>HYPERLINK("https://talan.bank.gov.ua/get-user-certificate/J53259hIJVEWrAEjf1-w","Завантажити сертифікат")</f>
        <v>Завантажити сертифікат</v>
      </c>
    </row>
    <row r="1735" spans="1:6" ht="43.2" x14ac:dyDescent="0.3">
      <c r="A1735" s="2">
        <v>1734</v>
      </c>
      <c r="B1735" s="1" t="s">
        <v>3676</v>
      </c>
      <c r="C1735" s="1" t="s">
        <v>3645</v>
      </c>
      <c r="D1735" s="1" t="s">
        <v>3646</v>
      </c>
      <c r="E1735" s="1" t="s">
        <v>3677</v>
      </c>
      <c r="F1735" s="1" t="str">
        <f>HYPERLINK("https://talan.bank.gov.ua/get-user-certificate/J5325BnDXWlCct3w8VNv","Завантажити сертифікат")</f>
        <v>Завантажити сертифікат</v>
      </c>
    </row>
    <row r="1736" spans="1:6" ht="43.2" x14ac:dyDescent="0.3">
      <c r="A1736" s="2">
        <v>1735</v>
      </c>
      <c r="B1736" s="1" t="s">
        <v>3678</v>
      </c>
      <c r="C1736" s="1" t="s">
        <v>3645</v>
      </c>
      <c r="D1736" s="1" t="s">
        <v>3646</v>
      </c>
      <c r="E1736" s="1" t="s">
        <v>3679</v>
      </c>
      <c r="F1736" s="1" t="str">
        <f>HYPERLINK("https://talan.bank.gov.ua/get-user-certificate/J5325LDIANekmdlkYCOK","Завантажити сертифікат")</f>
        <v>Завантажити сертифікат</v>
      </c>
    </row>
    <row r="1737" spans="1:6" ht="43.2" x14ac:dyDescent="0.3">
      <c r="A1737" s="2">
        <v>1736</v>
      </c>
      <c r="B1737" s="1" t="s">
        <v>3680</v>
      </c>
      <c r="C1737" s="1" t="s">
        <v>3645</v>
      </c>
      <c r="D1737" s="1" t="s">
        <v>3646</v>
      </c>
      <c r="E1737" s="1" t="s">
        <v>3681</v>
      </c>
      <c r="F1737" s="1" t="str">
        <f>HYPERLINK("https://talan.bank.gov.ua/get-user-certificate/J5325tMVaJAyUSEMC_-M","Завантажити сертифікат")</f>
        <v>Завантажити сертифікат</v>
      </c>
    </row>
    <row r="1738" spans="1:6" ht="43.2" x14ac:dyDescent="0.3">
      <c r="A1738" s="2">
        <v>1737</v>
      </c>
      <c r="B1738" s="1" t="s">
        <v>3682</v>
      </c>
      <c r="C1738" s="1" t="s">
        <v>3645</v>
      </c>
      <c r="D1738" s="1" t="s">
        <v>3646</v>
      </c>
      <c r="E1738" s="1" t="s">
        <v>3683</v>
      </c>
      <c r="F1738" s="1" t="str">
        <f>HYPERLINK("https://talan.bank.gov.ua/get-user-certificate/J5325SiTR2S4QDmsFlMx","Завантажити сертифікат")</f>
        <v>Завантажити сертифікат</v>
      </c>
    </row>
    <row r="1739" spans="1:6" ht="43.2" x14ac:dyDescent="0.3">
      <c r="A1739" s="2">
        <v>1738</v>
      </c>
      <c r="B1739" s="1" t="s">
        <v>3684</v>
      </c>
      <c r="C1739" s="1" t="s">
        <v>3645</v>
      </c>
      <c r="D1739" s="1" t="s">
        <v>3646</v>
      </c>
      <c r="E1739" s="1" t="s">
        <v>3685</v>
      </c>
      <c r="F1739" s="1" t="str">
        <f>HYPERLINK("https://talan.bank.gov.ua/get-user-certificate/J5325OzZb1EnAat59AoY","Завантажити сертифікат")</f>
        <v>Завантажити сертифікат</v>
      </c>
    </row>
    <row r="1740" spans="1:6" ht="43.2" x14ac:dyDescent="0.3">
      <c r="A1740" s="2">
        <v>1739</v>
      </c>
      <c r="B1740" s="1" t="s">
        <v>3686</v>
      </c>
      <c r="C1740" s="1" t="s">
        <v>3645</v>
      </c>
      <c r="D1740" s="1" t="s">
        <v>3646</v>
      </c>
      <c r="E1740" s="1" t="s">
        <v>3687</v>
      </c>
      <c r="F1740" s="1" t="str">
        <f>HYPERLINK("https://talan.bank.gov.ua/get-user-certificate/J5325Kds3UvPX3OP-BeA","Завантажити сертифікат")</f>
        <v>Завантажити сертифікат</v>
      </c>
    </row>
    <row r="1741" spans="1:6" ht="43.2" x14ac:dyDescent="0.3">
      <c r="A1741" s="2">
        <v>1740</v>
      </c>
      <c r="B1741" s="1" t="s">
        <v>3688</v>
      </c>
      <c r="C1741" s="1" t="s">
        <v>3645</v>
      </c>
      <c r="D1741" s="1" t="s">
        <v>3646</v>
      </c>
      <c r="E1741" s="1" t="s">
        <v>3689</v>
      </c>
      <c r="F1741" s="1" t="str">
        <f>HYPERLINK("https://talan.bank.gov.ua/get-user-certificate/J5325pHRT47CfuaKp5Hw","Завантажити сертифікат")</f>
        <v>Завантажити сертифікат</v>
      </c>
    </row>
    <row r="1742" spans="1:6" ht="43.2" x14ac:dyDescent="0.3">
      <c r="A1742" s="2">
        <v>1741</v>
      </c>
      <c r="B1742" s="1" t="s">
        <v>3690</v>
      </c>
      <c r="C1742" s="1" t="s">
        <v>3645</v>
      </c>
      <c r="D1742" s="1" t="s">
        <v>3646</v>
      </c>
      <c r="E1742" s="1" t="s">
        <v>3691</v>
      </c>
      <c r="F1742" s="1" t="str">
        <f>HYPERLINK("https://talan.bank.gov.ua/get-user-certificate/J53252fJfyK8X2piA9wp","Завантажити сертифікат")</f>
        <v>Завантажити сертифікат</v>
      </c>
    </row>
    <row r="1743" spans="1:6" ht="43.2" x14ac:dyDescent="0.3">
      <c r="A1743" s="2">
        <v>1742</v>
      </c>
      <c r="B1743" s="1" t="s">
        <v>3692</v>
      </c>
      <c r="C1743" s="1" t="s">
        <v>3645</v>
      </c>
      <c r="D1743" s="1" t="s">
        <v>3646</v>
      </c>
      <c r="E1743" s="1" t="s">
        <v>3693</v>
      </c>
      <c r="F1743" s="1" t="str">
        <f>HYPERLINK("https://talan.bank.gov.ua/get-user-certificate/J5325obRQ4KnRmnvCHLh","Завантажити сертифікат")</f>
        <v>Завантажити сертифікат</v>
      </c>
    </row>
    <row r="1744" spans="1:6" x14ac:dyDescent="0.3">
      <c r="A1744" s="2">
        <v>1743</v>
      </c>
      <c r="B1744" s="1" t="s">
        <v>3694</v>
      </c>
      <c r="C1744" s="1" t="s">
        <v>3695</v>
      </c>
      <c r="D1744" s="1" t="s">
        <v>3696</v>
      </c>
      <c r="E1744" s="1" t="s">
        <v>3697</v>
      </c>
      <c r="F1744" s="1" t="str">
        <f>HYPERLINK("https://talan.bank.gov.ua/get-user-certificate/J5325z2nQc5O_J9o2fBG","Завантажити сертифікат")</f>
        <v>Завантажити сертифікат</v>
      </c>
    </row>
    <row r="1745" spans="1:6" x14ac:dyDescent="0.3">
      <c r="A1745" s="2">
        <v>1744</v>
      </c>
      <c r="B1745" s="1" t="s">
        <v>3698</v>
      </c>
      <c r="C1745" s="1" t="s">
        <v>3695</v>
      </c>
      <c r="D1745" s="1" t="s">
        <v>3696</v>
      </c>
      <c r="E1745" s="1" t="s">
        <v>3699</v>
      </c>
      <c r="F1745" s="1" t="str">
        <f>HYPERLINK("https://talan.bank.gov.ua/get-user-certificate/J5325wF5AmGpGC1hMvjN","Завантажити сертифікат")</f>
        <v>Завантажити сертифікат</v>
      </c>
    </row>
    <row r="1746" spans="1:6" x14ac:dyDescent="0.3">
      <c r="A1746" s="2">
        <v>1745</v>
      </c>
      <c r="B1746" s="1" t="s">
        <v>3700</v>
      </c>
      <c r="C1746" s="1" t="s">
        <v>3695</v>
      </c>
      <c r="D1746" s="1" t="s">
        <v>3696</v>
      </c>
      <c r="E1746" s="1" t="s">
        <v>3701</v>
      </c>
      <c r="F1746" s="1" t="str">
        <f>HYPERLINK("https://talan.bank.gov.ua/get-user-certificate/J5325lvXKXDYQqsDFFjQ","Завантажити сертифікат")</f>
        <v>Завантажити сертифікат</v>
      </c>
    </row>
    <row r="1747" spans="1:6" x14ac:dyDescent="0.3">
      <c r="A1747" s="2">
        <v>1746</v>
      </c>
      <c r="B1747" s="1" t="s">
        <v>3702</v>
      </c>
      <c r="C1747" s="1" t="s">
        <v>3695</v>
      </c>
      <c r="D1747" s="1" t="s">
        <v>3696</v>
      </c>
      <c r="E1747" s="1" t="s">
        <v>3703</v>
      </c>
      <c r="F1747" s="1" t="str">
        <f>HYPERLINK("https://talan.bank.gov.ua/get-user-certificate/J5325cppWUv0NEqpIEnC","Завантажити сертифікат")</f>
        <v>Завантажити сертифікат</v>
      </c>
    </row>
    <row r="1748" spans="1:6" ht="43.2" x14ac:dyDescent="0.3">
      <c r="A1748" s="2">
        <v>1747</v>
      </c>
      <c r="B1748" s="1" t="s">
        <v>3704</v>
      </c>
      <c r="C1748" s="1" t="s">
        <v>3705</v>
      </c>
      <c r="D1748" s="1" t="s">
        <v>3706</v>
      </c>
      <c r="E1748" s="1" t="s">
        <v>3707</v>
      </c>
      <c r="F1748" s="1" t="str">
        <f>HYPERLINK("https://talan.bank.gov.ua/get-user-certificate/J5325GTP7PZBvjgs5_jT","Завантажити сертифікат")</f>
        <v>Завантажити сертифікат</v>
      </c>
    </row>
    <row r="1749" spans="1:6" ht="43.2" x14ac:dyDescent="0.3">
      <c r="A1749" s="2">
        <v>1748</v>
      </c>
      <c r="B1749" s="1" t="s">
        <v>3708</v>
      </c>
      <c r="C1749" s="1" t="s">
        <v>3705</v>
      </c>
      <c r="D1749" s="1" t="s">
        <v>3706</v>
      </c>
      <c r="E1749" s="1" t="s">
        <v>3709</v>
      </c>
      <c r="F1749" s="1" t="str">
        <f>HYPERLINK("https://talan.bank.gov.ua/get-user-certificate/J5325nG48zNm1KmUl-2U","Завантажити сертифікат")</f>
        <v>Завантажити сертифікат</v>
      </c>
    </row>
    <row r="1750" spans="1:6" ht="43.2" x14ac:dyDescent="0.3">
      <c r="A1750" s="2">
        <v>1749</v>
      </c>
      <c r="B1750" s="1" t="s">
        <v>3710</v>
      </c>
      <c r="C1750" s="1" t="s">
        <v>3705</v>
      </c>
      <c r="D1750" s="1" t="s">
        <v>3706</v>
      </c>
      <c r="E1750" s="1" t="s">
        <v>3711</v>
      </c>
      <c r="F1750" s="1" t="str">
        <f>HYPERLINK("https://talan.bank.gov.ua/get-user-certificate/J5325VKnKBrg-3CuaoX7","Завантажити сертифікат")</f>
        <v>Завантажити сертифікат</v>
      </c>
    </row>
    <row r="1751" spans="1:6" ht="43.2" x14ac:dyDescent="0.3">
      <c r="A1751" s="2">
        <v>1750</v>
      </c>
      <c r="B1751" s="1" t="s">
        <v>3712</v>
      </c>
      <c r="C1751" s="1" t="s">
        <v>3705</v>
      </c>
      <c r="D1751" s="1" t="s">
        <v>3706</v>
      </c>
      <c r="E1751" s="1" t="s">
        <v>3713</v>
      </c>
      <c r="F1751" s="1" t="str">
        <f>HYPERLINK("https://talan.bank.gov.ua/get-user-certificate/J5325f962X6psnxoAtrQ","Завантажити сертифікат")</f>
        <v>Завантажити сертифікат</v>
      </c>
    </row>
    <row r="1752" spans="1:6" ht="43.2" x14ac:dyDescent="0.3">
      <c r="A1752" s="2">
        <v>1751</v>
      </c>
      <c r="B1752" s="1" t="s">
        <v>3714</v>
      </c>
      <c r="C1752" s="1" t="s">
        <v>3705</v>
      </c>
      <c r="D1752" s="1" t="s">
        <v>3706</v>
      </c>
      <c r="E1752" s="1" t="s">
        <v>3715</v>
      </c>
      <c r="F1752" s="1" t="str">
        <f>HYPERLINK("https://talan.bank.gov.ua/get-user-certificate/J5325khTMhkzXVwWVw9Q","Завантажити сертифікат")</f>
        <v>Завантажити сертифікат</v>
      </c>
    </row>
    <row r="1753" spans="1:6" ht="43.2" x14ac:dyDescent="0.3">
      <c r="A1753" s="2">
        <v>1752</v>
      </c>
      <c r="B1753" s="1" t="s">
        <v>3716</v>
      </c>
      <c r="C1753" s="1" t="s">
        <v>3705</v>
      </c>
      <c r="D1753" s="1" t="s">
        <v>3706</v>
      </c>
      <c r="E1753" s="1" t="s">
        <v>3717</v>
      </c>
      <c r="F1753" s="1" t="str">
        <f>HYPERLINK("https://talan.bank.gov.ua/get-user-certificate/J53256QV1AKsK-2M9SaP","Завантажити сертифікат")</f>
        <v>Завантажити сертифікат</v>
      </c>
    </row>
    <row r="1754" spans="1:6" ht="43.2" x14ac:dyDescent="0.3">
      <c r="A1754" s="2">
        <v>1753</v>
      </c>
      <c r="B1754" s="1" t="s">
        <v>3718</v>
      </c>
      <c r="C1754" s="1" t="s">
        <v>3705</v>
      </c>
      <c r="D1754" s="1" t="s">
        <v>3706</v>
      </c>
      <c r="E1754" s="1" t="s">
        <v>3719</v>
      </c>
      <c r="F1754" s="1" t="str">
        <f>HYPERLINK("https://talan.bank.gov.ua/get-user-certificate/J5325neUbjMRkwMZ_FMs","Завантажити сертифікат")</f>
        <v>Завантажити сертифікат</v>
      </c>
    </row>
    <row r="1755" spans="1:6" ht="43.2" x14ac:dyDescent="0.3">
      <c r="A1755" s="2">
        <v>1754</v>
      </c>
      <c r="B1755" s="1" t="s">
        <v>3720</v>
      </c>
      <c r="C1755" s="1" t="s">
        <v>3705</v>
      </c>
      <c r="D1755" s="1" t="s">
        <v>3706</v>
      </c>
      <c r="E1755" s="1" t="s">
        <v>3721</v>
      </c>
      <c r="F1755" s="1" t="str">
        <f>HYPERLINK("https://talan.bank.gov.ua/get-user-certificate/J5325Z5joTZOjvZcdFKr","Завантажити сертифікат")</f>
        <v>Завантажити сертифікат</v>
      </c>
    </row>
    <row r="1756" spans="1:6" ht="43.2" x14ac:dyDescent="0.3">
      <c r="A1756" s="2">
        <v>1755</v>
      </c>
      <c r="B1756" s="1" t="s">
        <v>3722</v>
      </c>
      <c r="C1756" s="1" t="s">
        <v>3705</v>
      </c>
      <c r="D1756" s="1" t="s">
        <v>3706</v>
      </c>
      <c r="E1756" s="1" t="s">
        <v>3723</v>
      </c>
      <c r="F1756" s="1" t="str">
        <f>HYPERLINK("https://talan.bank.gov.ua/get-user-certificate/J5325F814eVg-5Yq1mPb","Завантажити сертифікат")</f>
        <v>Завантажити сертифікат</v>
      </c>
    </row>
    <row r="1757" spans="1:6" ht="43.2" x14ac:dyDescent="0.3">
      <c r="A1757" s="2">
        <v>1756</v>
      </c>
      <c r="B1757" s="1" t="s">
        <v>3724</v>
      </c>
      <c r="C1757" s="1" t="s">
        <v>3705</v>
      </c>
      <c r="D1757" s="1" t="s">
        <v>3706</v>
      </c>
      <c r="E1757" s="1" t="s">
        <v>3725</v>
      </c>
      <c r="F1757" s="1" t="str">
        <f>HYPERLINK("https://talan.bank.gov.ua/get-user-certificate/J5325jKQ3FR9KtDzmNPm","Завантажити сертифікат")</f>
        <v>Завантажити сертифікат</v>
      </c>
    </row>
    <row r="1758" spans="1:6" ht="43.2" x14ac:dyDescent="0.3">
      <c r="A1758" s="2">
        <v>1757</v>
      </c>
      <c r="B1758" s="1" t="s">
        <v>3726</v>
      </c>
      <c r="C1758" s="1" t="s">
        <v>3705</v>
      </c>
      <c r="D1758" s="1" t="s">
        <v>3706</v>
      </c>
      <c r="E1758" s="1" t="s">
        <v>3727</v>
      </c>
      <c r="F1758" s="1" t="str">
        <f>HYPERLINK("https://talan.bank.gov.ua/get-user-certificate/J5325Xn-GeF0XcnqPbTJ","Завантажити сертифікат")</f>
        <v>Завантажити сертифікат</v>
      </c>
    </row>
    <row r="1759" spans="1:6" ht="43.2" x14ac:dyDescent="0.3">
      <c r="A1759" s="2">
        <v>1758</v>
      </c>
      <c r="B1759" s="1" t="s">
        <v>3728</v>
      </c>
      <c r="C1759" s="1" t="s">
        <v>3705</v>
      </c>
      <c r="D1759" s="1" t="s">
        <v>3706</v>
      </c>
      <c r="E1759" s="1" t="s">
        <v>3729</v>
      </c>
      <c r="F1759" s="1" t="str">
        <f>HYPERLINK("https://talan.bank.gov.ua/get-user-certificate/J53256_Y0n8ffyc-AyXw","Завантажити сертифікат")</f>
        <v>Завантажити сертифікат</v>
      </c>
    </row>
    <row r="1760" spans="1:6" ht="43.2" x14ac:dyDescent="0.3">
      <c r="A1760" s="2">
        <v>1759</v>
      </c>
      <c r="B1760" s="1" t="s">
        <v>3730</v>
      </c>
      <c r="C1760" s="1" t="s">
        <v>3705</v>
      </c>
      <c r="D1760" s="1" t="s">
        <v>3706</v>
      </c>
      <c r="E1760" s="1" t="s">
        <v>3731</v>
      </c>
      <c r="F1760" s="1" t="str">
        <f>HYPERLINK("https://talan.bank.gov.ua/get-user-certificate/J5325gU2jQASs_msRBcs","Завантажити сертифікат")</f>
        <v>Завантажити сертифікат</v>
      </c>
    </row>
    <row r="1761" spans="1:6" x14ac:dyDescent="0.3">
      <c r="A1761" s="2">
        <v>1760</v>
      </c>
      <c r="B1761" s="1" t="s">
        <v>3732</v>
      </c>
      <c r="C1761" s="1" t="s">
        <v>3733</v>
      </c>
      <c r="D1761" s="1" t="s">
        <v>3734</v>
      </c>
      <c r="E1761" s="1" t="s">
        <v>3735</v>
      </c>
      <c r="F1761" s="1" t="str">
        <f>HYPERLINK("https://talan.bank.gov.ua/get-user-certificate/J5325WoEHAySyoQdj5gl","Завантажити сертифікат")</f>
        <v>Завантажити сертифікат</v>
      </c>
    </row>
    <row r="1762" spans="1:6" x14ac:dyDescent="0.3">
      <c r="A1762" s="2">
        <v>1761</v>
      </c>
      <c r="B1762" s="1" t="s">
        <v>3736</v>
      </c>
      <c r="C1762" s="1" t="s">
        <v>3733</v>
      </c>
      <c r="D1762" s="1" t="s">
        <v>3734</v>
      </c>
      <c r="E1762" s="1" t="s">
        <v>3737</v>
      </c>
      <c r="F1762" s="1" t="str">
        <f>HYPERLINK("https://talan.bank.gov.ua/get-user-certificate/J5325f6c42zxlc9IscOv","Завантажити сертифікат")</f>
        <v>Завантажити сертифікат</v>
      </c>
    </row>
    <row r="1763" spans="1:6" x14ac:dyDescent="0.3">
      <c r="A1763" s="2">
        <v>1762</v>
      </c>
      <c r="B1763" s="1" t="s">
        <v>3738</v>
      </c>
      <c r="C1763" s="1" t="s">
        <v>3733</v>
      </c>
      <c r="D1763" s="1" t="s">
        <v>3734</v>
      </c>
      <c r="E1763" s="1" t="s">
        <v>3739</v>
      </c>
      <c r="F1763" s="1" t="str">
        <f>HYPERLINK("https://talan.bank.gov.ua/get-user-certificate/J532566i7qU7J6jE022l","Завантажити сертифікат")</f>
        <v>Завантажити сертифікат</v>
      </c>
    </row>
    <row r="1764" spans="1:6" x14ac:dyDescent="0.3">
      <c r="A1764" s="2">
        <v>1763</v>
      </c>
      <c r="B1764" s="1" t="s">
        <v>3740</v>
      </c>
      <c r="C1764" s="1" t="s">
        <v>3733</v>
      </c>
      <c r="D1764" s="1" t="s">
        <v>3734</v>
      </c>
      <c r="E1764" s="1" t="s">
        <v>3741</v>
      </c>
      <c r="F1764" s="1" t="str">
        <f>HYPERLINK("https://talan.bank.gov.ua/get-user-certificate/J5325aOLEL10mJLVNK_3","Завантажити сертифікат")</f>
        <v>Завантажити сертифікат</v>
      </c>
    </row>
    <row r="1765" spans="1:6" x14ac:dyDescent="0.3">
      <c r="A1765" s="2">
        <v>1764</v>
      </c>
      <c r="B1765" s="1" t="s">
        <v>3742</v>
      </c>
      <c r="C1765" s="1" t="s">
        <v>3743</v>
      </c>
      <c r="D1765" s="1" t="s">
        <v>3744</v>
      </c>
      <c r="E1765" s="1" t="s">
        <v>3745</v>
      </c>
      <c r="F1765" s="1" t="str">
        <f>HYPERLINK("https://talan.bank.gov.ua/get-user-certificate/J53255xFxYprhraXbqHZ","Завантажити сертифікат")</f>
        <v>Завантажити сертифікат</v>
      </c>
    </row>
    <row r="1766" spans="1:6" x14ac:dyDescent="0.3">
      <c r="A1766" s="2">
        <v>1765</v>
      </c>
      <c r="B1766" s="1" t="s">
        <v>3746</v>
      </c>
      <c r="C1766" s="1" t="s">
        <v>3743</v>
      </c>
      <c r="D1766" s="1" t="s">
        <v>3744</v>
      </c>
      <c r="E1766" s="1" t="s">
        <v>3747</v>
      </c>
      <c r="F1766" s="1" t="str">
        <f>HYPERLINK("https://talan.bank.gov.ua/get-user-certificate/J5325yyzE-E5-uOIqiDN","Завантажити сертифікат")</f>
        <v>Завантажити сертифікат</v>
      </c>
    </row>
    <row r="1767" spans="1:6" x14ac:dyDescent="0.3">
      <c r="A1767" s="2">
        <v>1766</v>
      </c>
      <c r="B1767" s="1" t="s">
        <v>3748</v>
      </c>
      <c r="C1767" s="1" t="s">
        <v>3743</v>
      </c>
      <c r="D1767" s="1" t="s">
        <v>3744</v>
      </c>
      <c r="E1767" s="1" t="s">
        <v>3749</v>
      </c>
      <c r="F1767" s="1" t="str">
        <f>HYPERLINK("https://talan.bank.gov.ua/get-user-certificate/J5325xlKnyRX_r3Rn07h","Завантажити сертифікат")</f>
        <v>Завантажити сертифікат</v>
      </c>
    </row>
    <row r="1768" spans="1:6" x14ac:dyDescent="0.3">
      <c r="A1768" s="2">
        <v>1767</v>
      </c>
      <c r="B1768" s="1" t="s">
        <v>3750</v>
      </c>
      <c r="C1768" s="1" t="s">
        <v>3743</v>
      </c>
      <c r="D1768" s="1" t="s">
        <v>3744</v>
      </c>
      <c r="E1768" s="1" t="s">
        <v>3751</v>
      </c>
      <c r="F1768" s="1" t="str">
        <f>HYPERLINK("https://talan.bank.gov.ua/get-user-certificate/J5325E_GRfCXCTaZe-OP","Завантажити сертифікат")</f>
        <v>Завантажити сертифікат</v>
      </c>
    </row>
    <row r="1769" spans="1:6" x14ac:dyDescent="0.3">
      <c r="A1769" s="2">
        <v>1768</v>
      </c>
      <c r="B1769" s="1" t="s">
        <v>3752</v>
      </c>
      <c r="C1769" s="1" t="s">
        <v>3743</v>
      </c>
      <c r="D1769" s="1" t="s">
        <v>3744</v>
      </c>
      <c r="E1769" s="1" t="s">
        <v>3753</v>
      </c>
      <c r="F1769" s="1" t="str">
        <f>HYPERLINK("https://talan.bank.gov.ua/get-user-certificate/J5325-Y-6uyZLErAUR7R","Завантажити сертифікат")</f>
        <v>Завантажити сертифікат</v>
      </c>
    </row>
    <row r="1770" spans="1:6" x14ac:dyDescent="0.3">
      <c r="A1770" s="2">
        <v>1769</v>
      </c>
      <c r="B1770" s="1" t="s">
        <v>3754</v>
      </c>
      <c r="C1770" s="1" t="s">
        <v>3743</v>
      </c>
      <c r="D1770" s="1" t="s">
        <v>3744</v>
      </c>
      <c r="E1770" s="1" t="s">
        <v>3755</v>
      </c>
      <c r="F1770" s="1" t="str">
        <f>HYPERLINK("https://talan.bank.gov.ua/get-user-certificate/J5325QFvmPv-PGppYxih","Завантажити сертифікат")</f>
        <v>Завантажити сертифікат</v>
      </c>
    </row>
    <row r="1771" spans="1:6" x14ac:dyDescent="0.3">
      <c r="A1771" s="2">
        <v>1770</v>
      </c>
      <c r="B1771" s="1" t="s">
        <v>3756</v>
      </c>
      <c r="C1771" s="1" t="s">
        <v>3743</v>
      </c>
      <c r="D1771" s="1" t="s">
        <v>3744</v>
      </c>
      <c r="E1771" s="1" t="s">
        <v>3757</v>
      </c>
      <c r="F1771" s="1" t="str">
        <f>HYPERLINK("https://talan.bank.gov.ua/get-user-certificate/J5325RY_jV2bsJ1tVHQd","Завантажити сертифікат")</f>
        <v>Завантажити сертифікат</v>
      </c>
    </row>
    <row r="1772" spans="1:6" x14ac:dyDescent="0.3">
      <c r="A1772" s="2">
        <v>1771</v>
      </c>
      <c r="B1772" s="1" t="s">
        <v>3758</v>
      </c>
      <c r="C1772" s="1" t="s">
        <v>3743</v>
      </c>
      <c r="D1772" s="1" t="s">
        <v>3744</v>
      </c>
      <c r="E1772" s="1" t="s">
        <v>3759</v>
      </c>
      <c r="F1772" s="1" t="str">
        <f>HYPERLINK("https://talan.bank.gov.ua/get-user-certificate/J5325KG3h4cat_UUDc7D","Завантажити сертифікат")</f>
        <v>Завантажити сертифікат</v>
      </c>
    </row>
    <row r="1773" spans="1:6" x14ac:dyDescent="0.3">
      <c r="A1773" s="2">
        <v>1772</v>
      </c>
      <c r="B1773" s="1" t="s">
        <v>3760</v>
      </c>
      <c r="C1773" s="1" t="s">
        <v>3743</v>
      </c>
      <c r="D1773" s="1" t="s">
        <v>3744</v>
      </c>
      <c r="E1773" s="1" t="s">
        <v>3761</v>
      </c>
      <c r="F1773" s="1" t="str">
        <f>HYPERLINK("https://talan.bank.gov.ua/get-user-certificate/J5325lA-hdQ7nWLY-d06","Завантажити сертифікат")</f>
        <v>Завантажити сертифікат</v>
      </c>
    </row>
    <row r="1774" spans="1:6" x14ac:dyDescent="0.3">
      <c r="A1774" s="2">
        <v>1773</v>
      </c>
      <c r="B1774" s="1" t="s">
        <v>3762</v>
      </c>
      <c r="C1774" s="1" t="s">
        <v>3743</v>
      </c>
      <c r="D1774" s="1" t="s">
        <v>3744</v>
      </c>
      <c r="E1774" s="1" t="s">
        <v>3763</v>
      </c>
      <c r="F1774" s="1" t="str">
        <f>HYPERLINK("https://talan.bank.gov.ua/get-user-certificate/J5325EDyVJDRc5kgQCAj","Завантажити сертифікат")</f>
        <v>Завантажити сертифікат</v>
      </c>
    </row>
    <row r="1775" spans="1:6" x14ac:dyDescent="0.3">
      <c r="A1775" s="2">
        <v>1774</v>
      </c>
      <c r="B1775" s="1" t="s">
        <v>3764</v>
      </c>
      <c r="C1775" s="1" t="s">
        <v>3743</v>
      </c>
      <c r="D1775" s="1" t="s">
        <v>3744</v>
      </c>
      <c r="E1775" s="1" t="s">
        <v>3765</v>
      </c>
      <c r="F1775" s="1" t="str">
        <f>HYPERLINK("https://talan.bank.gov.ua/get-user-certificate/J5325qBqwR7feMDgFHc_","Завантажити сертифікат")</f>
        <v>Завантажити сертифікат</v>
      </c>
    </row>
    <row r="1776" spans="1:6" x14ac:dyDescent="0.3">
      <c r="A1776" s="2">
        <v>1775</v>
      </c>
      <c r="B1776" s="1" t="s">
        <v>3766</v>
      </c>
      <c r="C1776" s="1" t="s">
        <v>3743</v>
      </c>
      <c r="D1776" s="1" t="s">
        <v>3744</v>
      </c>
      <c r="E1776" s="1" t="s">
        <v>3767</v>
      </c>
      <c r="F1776" s="1" t="str">
        <f>HYPERLINK("https://talan.bank.gov.ua/get-user-certificate/J5325uUOQKxTi1BejILa","Завантажити сертифікат")</f>
        <v>Завантажити сертифікат</v>
      </c>
    </row>
    <row r="1777" spans="1:6" x14ac:dyDescent="0.3">
      <c r="A1777" s="2">
        <v>1776</v>
      </c>
      <c r="B1777" s="1" t="s">
        <v>3768</v>
      </c>
      <c r="C1777" s="1" t="s">
        <v>3743</v>
      </c>
      <c r="D1777" s="1" t="s">
        <v>3744</v>
      </c>
      <c r="E1777" s="1" t="s">
        <v>3769</v>
      </c>
      <c r="F1777" s="1" t="str">
        <f>HYPERLINK("https://talan.bank.gov.ua/get-user-certificate/J5325Na6wwJWR_ULQAk6","Завантажити сертифікат")</f>
        <v>Завантажити сертифікат</v>
      </c>
    </row>
    <row r="1778" spans="1:6" x14ac:dyDescent="0.3">
      <c r="A1778" s="2">
        <v>1777</v>
      </c>
      <c r="B1778" s="1" t="s">
        <v>3770</v>
      </c>
      <c r="C1778" s="1" t="s">
        <v>3743</v>
      </c>
      <c r="D1778" s="1" t="s">
        <v>3744</v>
      </c>
      <c r="E1778" s="1" t="s">
        <v>3771</v>
      </c>
      <c r="F1778" s="1" t="str">
        <f>HYPERLINK("https://talan.bank.gov.ua/get-user-certificate/J5325BF3jYHnegxlKkXH","Завантажити сертифікат")</f>
        <v>Завантажити сертифікат</v>
      </c>
    </row>
    <row r="1779" spans="1:6" x14ac:dyDescent="0.3">
      <c r="A1779" s="2">
        <v>1778</v>
      </c>
      <c r="B1779" s="1" t="s">
        <v>3772</v>
      </c>
      <c r="C1779" s="1" t="s">
        <v>3743</v>
      </c>
      <c r="D1779" s="1" t="s">
        <v>3744</v>
      </c>
      <c r="E1779" s="1" t="s">
        <v>3773</v>
      </c>
      <c r="F1779" s="1" t="str">
        <f>HYPERLINK("https://talan.bank.gov.ua/get-user-certificate/J53258-NvNMU8PTZjbHN","Завантажити сертифікат")</f>
        <v>Завантажити сертифікат</v>
      </c>
    </row>
    <row r="1780" spans="1:6" x14ac:dyDescent="0.3">
      <c r="A1780" s="2">
        <v>1779</v>
      </c>
      <c r="B1780" s="1" t="s">
        <v>3774</v>
      </c>
      <c r="C1780" s="1" t="s">
        <v>3743</v>
      </c>
      <c r="D1780" s="1" t="s">
        <v>3744</v>
      </c>
      <c r="E1780" s="1" t="s">
        <v>3775</v>
      </c>
      <c r="F1780" s="1" t="str">
        <f>HYPERLINK("https://talan.bank.gov.ua/get-user-certificate/J5325TIj7ANag5Al0Lg6","Завантажити сертифікат")</f>
        <v>Завантажити сертифікат</v>
      </c>
    </row>
    <row r="1781" spans="1:6" x14ac:dyDescent="0.3">
      <c r="A1781" s="2">
        <v>1780</v>
      </c>
      <c r="B1781" s="1" t="s">
        <v>3776</v>
      </c>
      <c r="C1781" s="1" t="s">
        <v>3743</v>
      </c>
      <c r="D1781" s="1" t="s">
        <v>3744</v>
      </c>
      <c r="E1781" s="1" t="s">
        <v>3777</v>
      </c>
      <c r="F1781" s="1" t="str">
        <f>HYPERLINK("https://talan.bank.gov.ua/get-user-certificate/J53255NpMCEFavrl2Q2T","Завантажити сертифікат")</f>
        <v>Завантажити сертифікат</v>
      </c>
    </row>
    <row r="1782" spans="1:6" x14ac:dyDescent="0.3">
      <c r="A1782" s="2">
        <v>1781</v>
      </c>
      <c r="B1782" s="1" t="s">
        <v>3778</v>
      </c>
      <c r="C1782" s="1" t="s">
        <v>3743</v>
      </c>
      <c r="D1782" s="1" t="s">
        <v>3744</v>
      </c>
      <c r="E1782" s="1" t="s">
        <v>3779</v>
      </c>
      <c r="F1782" s="1" t="str">
        <f>HYPERLINK("https://talan.bank.gov.ua/get-user-certificate/J5325zw6_PUBfFlDkiJB","Завантажити сертифікат")</f>
        <v>Завантажити сертифікат</v>
      </c>
    </row>
    <row r="1783" spans="1:6" x14ac:dyDescent="0.3">
      <c r="A1783" s="2">
        <v>1782</v>
      </c>
      <c r="B1783" s="1" t="s">
        <v>3780</v>
      </c>
      <c r="C1783" s="1" t="s">
        <v>3743</v>
      </c>
      <c r="D1783" s="1" t="s">
        <v>3744</v>
      </c>
      <c r="E1783" s="1" t="s">
        <v>3781</v>
      </c>
      <c r="F1783" s="1" t="str">
        <f>HYPERLINK("https://talan.bank.gov.ua/get-user-certificate/J5325Aq9c1g0gFwsRf6c","Завантажити сертифікат")</f>
        <v>Завантажити сертифікат</v>
      </c>
    </row>
    <row r="1784" spans="1:6" x14ac:dyDescent="0.3">
      <c r="A1784" s="2">
        <v>1783</v>
      </c>
      <c r="B1784" s="1" t="s">
        <v>3782</v>
      </c>
      <c r="C1784" s="1" t="s">
        <v>3783</v>
      </c>
      <c r="D1784" s="1" t="s">
        <v>3784</v>
      </c>
      <c r="E1784" s="1" t="s">
        <v>3785</v>
      </c>
      <c r="F1784" s="1" t="str">
        <f>HYPERLINK("https://talan.bank.gov.ua/get-user-certificate/J5325NzCjpvfAK9CDxwG","Завантажити сертифікат")</f>
        <v>Завантажити сертифікат</v>
      </c>
    </row>
    <row r="1785" spans="1:6" x14ac:dyDescent="0.3">
      <c r="A1785" s="2">
        <v>1784</v>
      </c>
      <c r="B1785" s="1" t="s">
        <v>3786</v>
      </c>
      <c r="C1785" s="1" t="s">
        <v>3783</v>
      </c>
      <c r="D1785" s="1" t="s">
        <v>3784</v>
      </c>
      <c r="E1785" s="1" t="s">
        <v>3787</v>
      </c>
      <c r="F1785" s="1" t="str">
        <f>HYPERLINK("https://talan.bank.gov.ua/get-user-certificate/J5325EDjYMQfxuYvYF0h","Завантажити сертифікат")</f>
        <v>Завантажити сертифікат</v>
      </c>
    </row>
    <row r="1786" spans="1:6" x14ac:dyDescent="0.3">
      <c r="A1786" s="2">
        <v>1785</v>
      </c>
      <c r="B1786" s="1" t="s">
        <v>3788</v>
      </c>
      <c r="C1786" s="1" t="s">
        <v>3783</v>
      </c>
      <c r="D1786" s="1" t="s">
        <v>3784</v>
      </c>
      <c r="E1786" s="1" t="s">
        <v>3789</v>
      </c>
      <c r="F1786" s="1" t="str">
        <f>HYPERLINK("https://talan.bank.gov.ua/get-user-certificate/J5325rGDA45eHvxrVutT","Завантажити сертифікат")</f>
        <v>Завантажити сертифікат</v>
      </c>
    </row>
    <row r="1787" spans="1:6" x14ac:dyDescent="0.3">
      <c r="A1787" s="2">
        <v>1786</v>
      </c>
      <c r="B1787" s="1" t="s">
        <v>3790</v>
      </c>
      <c r="C1787" s="1" t="s">
        <v>3783</v>
      </c>
      <c r="D1787" s="1" t="s">
        <v>3784</v>
      </c>
      <c r="E1787" s="1" t="s">
        <v>3791</v>
      </c>
      <c r="F1787" s="1" t="str">
        <f>HYPERLINK("https://talan.bank.gov.ua/get-user-certificate/J5325BuJG5zgLZxECM60","Завантажити сертифікат")</f>
        <v>Завантажити сертифікат</v>
      </c>
    </row>
    <row r="1788" spans="1:6" x14ac:dyDescent="0.3">
      <c r="A1788" s="2">
        <v>1787</v>
      </c>
      <c r="B1788" s="1" t="s">
        <v>3792</v>
      </c>
      <c r="C1788" s="1" t="s">
        <v>3783</v>
      </c>
      <c r="D1788" s="1" t="s">
        <v>3784</v>
      </c>
      <c r="E1788" s="1" t="s">
        <v>3793</v>
      </c>
      <c r="F1788" s="1" t="str">
        <f>HYPERLINK("https://talan.bank.gov.ua/get-user-certificate/J5325Pel-tnLm4Y-1FSB","Завантажити сертифікат")</f>
        <v>Завантажити сертифікат</v>
      </c>
    </row>
    <row r="1789" spans="1:6" x14ac:dyDescent="0.3">
      <c r="A1789" s="2">
        <v>1788</v>
      </c>
      <c r="B1789" s="1" t="s">
        <v>3794</v>
      </c>
      <c r="C1789" s="1" t="s">
        <v>3783</v>
      </c>
      <c r="D1789" s="1" t="s">
        <v>3784</v>
      </c>
      <c r="E1789" s="1" t="s">
        <v>3795</v>
      </c>
      <c r="F1789" s="1" t="str">
        <f>HYPERLINK("https://talan.bank.gov.ua/get-user-certificate/J5325SgsEIH4ZzRWK_ez","Завантажити сертифікат")</f>
        <v>Завантажити сертифікат</v>
      </c>
    </row>
    <row r="1790" spans="1:6" x14ac:dyDescent="0.3">
      <c r="A1790" s="2">
        <v>1789</v>
      </c>
      <c r="B1790" s="1" t="s">
        <v>3796</v>
      </c>
      <c r="C1790" s="1" t="s">
        <v>3783</v>
      </c>
      <c r="D1790" s="1" t="s">
        <v>3784</v>
      </c>
      <c r="E1790" s="1" t="s">
        <v>3797</v>
      </c>
      <c r="F1790" s="1" t="str">
        <f>HYPERLINK("https://talan.bank.gov.ua/get-user-certificate/J5325cofUBcMnCf6vDk8","Завантажити сертифікат")</f>
        <v>Завантажити сертифікат</v>
      </c>
    </row>
    <row r="1791" spans="1:6" x14ac:dyDescent="0.3">
      <c r="A1791" s="2">
        <v>1790</v>
      </c>
      <c r="B1791" s="1" t="s">
        <v>3798</v>
      </c>
      <c r="C1791" s="1" t="s">
        <v>3783</v>
      </c>
      <c r="D1791" s="1" t="s">
        <v>3784</v>
      </c>
      <c r="E1791" s="1" t="s">
        <v>3799</v>
      </c>
      <c r="F1791" s="1" t="str">
        <f>HYPERLINK("https://talan.bank.gov.ua/get-user-certificate/J53252w4pn9DCCk_5_XR","Завантажити сертифікат")</f>
        <v>Завантажити сертифікат</v>
      </c>
    </row>
    <row r="1792" spans="1:6" x14ac:dyDescent="0.3">
      <c r="A1792" s="2">
        <v>1791</v>
      </c>
      <c r="B1792" s="1" t="s">
        <v>3800</v>
      </c>
      <c r="C1792" s="1" t="s">
        <v>3783</v>
      </c>
      <c r="D1792" s="1" t="s">
        <v>3784</v>
      </c>
      <c r="E1792" s="1" t="s">
        <v>3801</v>
      </c>
      <c r="F1792" s="1" t="str">
        <f>HYPERLINK("https://talan.bank.gov.ua/get-user-certificate/J5325rhrYDEdqHYDHDQu","Завантажити сертифікат")</f>
        <v>Завантажити сертифікат</v>
      </c>
    </row>
    <row r="1793" spans="1:6" x14ac:dyDescent="0.3">
      <c r="A1793" s="2">
        <v>1792</v>
      </c>
      <c r="B1793" s="1" t="s">
        <v>3802</v>
      </c>
      <c r="C1793" s="1" t="s">
        <v>3783</v>
      </c>
      <c r="D1793" s="1" t="s">
        <v>3784</v>
      </c>
      <c r="E1793" s="1" t="s">
        <v>3803</v>
      </c>
      <c r="F1793" s="1" t="str">
        <f>HYPERLINK("https://talan.bank.gov.ua/get-user-certificate/J5325ScmQUDlmtNXp4C4","Завантажити сертифікат")</f>
        <v>Завантажити сертифікат</v>
      </c>
    </row>
    <row r="1794" spans="1:6" x14ac:dyDescent="0.3">
      <c r="A1794" s="2">
        <v>1793</v>
      </c>
      <c r="B1794" s="1" t="s">
        <v>3804</v>
      </c>
      <c r="C1794" s="1" t="s">
        <v>3783</v>
      </c>
      <c r="D1794" s="1" t="s">
        <v>3784</v>
      </c>
      <c r="E1794" s="1" t="s">
        <v>3805</v>
      </c>
      <c r="F1794" s="1" t="str">
        <f>HYPERLINK("https://talan.bank.gov.ua/get-user-certificate/J5325wvPBqOGypwHuFza","Завантажити сертифікат")</f>
        <v>Завантажити сертифікат</v>
      </c>
    </row>
    <row r="1795" spans="1:6" x14ac:dyDescent="0.3">
      <c r="A1795" s="2">
        <v>1794</v>
      </c>
      <c r="B1795" s="1" t="s">
        <v>3806</v>
      </c>
      <c r="C1795" s="1" t="s">
        <v>3783</v>
      </c>
      <c r="D1795" s="1" t="s">
        <v>3784</v>
      </c>
      <c r="E1795" s="1" t="s">
        <v>3807</v>
      </c>
      <c r="F1795" s="1" t="str">
        <f>HYPERLINK("https://talan.bank.gov.ua/get-user-certificate/J5325FOfjC8Ej_hiP7FJ","Завантажити сертифікат")</f>
        <v>Завантажити сертифікат</v>
      </c>
    </row>
    <row r="1796" spans="1:6" ht="43.2" x14ac:dyDescent="0.3">
      <c r="A1796" s="2">
        <v>1795</v>
      </c>
      <c r="B1796" s="1" t="s">
        <v>3808</v>
      </c>
      <c r="C1796" s="1" t="s">
        <v>3809</v>
      </c>
      <c r="D1796" s="1" t="s">
        <v>3810</v>
      </c>
      <c r="E1796" s="1" t="s">
        <v>3811</v>
      </c>
      <c r="F1796" s="1" t="str">
        <f>HYPERLINK("https://talan.bank.gov.ua/get-user-certificate/J5325baX3_XZliz4cG6x","Завантажити сертифікат")</f>
        <v>Завантажити сертифікат</v>
      </c>
    </row>
    <row r="1797" spans="1:6" ht="43.2" x14ac:dyDescent="0.3">
      <c r="A1797" s="2">
        <v>1796</v>
      </c>
      <c r="B1797" s="1" t="s">
        <v>3812</v>
      </c>
      <c r="C1797" s="1" t="s">
        <v>3809</v>
      </c>
      <c r="D1797" s="1" t="s">
        <v>3810</v>
      </c>
      <c r="E1797" s="1" t="s">
        <v>3813</v>
      </c>
      <c r="F1797" s="1" t="str">
        <f>HYPERLINK("https://talan.bank.gov.ua/get-user-certificate/J5325mf6FRmh7dy9Aic5","Завантажити сертифікат")</f>
        <v>Завантажити сертифікат</v>
      </c>
    </row>
    <row r="1798" spans="1:6" ht="43.2" x14ac:dyDescent="0.3">
      <c r="A1798" s="2">
        <v>1797</v>
      </c>
      <c r="B1798" s="1" t="s">
        <v>3814</v>
      </c>
      <c r="C1798" s="1" t="s">
        <v>3809</v>
      </c>
      <c r="D1798" s="1" t="s">
        <v>3810</v>
      </c>
      <c r="E1798" s="1" t="s">
        <v>3815</v>
      </c>
      <c r="F1798" s="1" t="str">
        <f>HYPERLINK("https://talan.bank.gov.ua/get-user-certificate/J5325hHfAALmY3maDUut","Завантажити сертифікат")</f>
        <v>Завантажити сертифікат</v>
      </c>
    </row>
    <row r="1799" spans="1:6" ht="43.2" x14ac:dyDescent="0.3">
      <c r="A1799" s="2">
        <v>1798</v>
      </c>
      <c r="B1799" s="1" t="s">
        <v>3816</v>
      </c>
      <c r="C1799" s="1" t="s">
        <v>3809</v>
      </c>
      <c r="D1799" s="1" t="s">
        <v>3810</v>
      </c>
      <c r="E1799" s="1" t="s">
        <v>3817</v>
      </c>
      <c r="F1799" s="1" t="str">
        <f>HYPERLINK("https://talan.bank.gov.ua/get-user-certificate/J5325kbl1HpRcofdIu1_","Завантажити сертифікат")</f>
        <v>Завантажити сертифікат</v>
      </c>
    </row>
    <row r="1800" spans="1:6" ht="43.2" x14ac:dyDescent="0.3">
      <c r="A1800" s="2">
        <v>1799</v>
      </c>
      <c r="B1800" s="1" t="s">
        <v>3818</v>
      </c>
      <c r="C1800" s="1" t="s">
        <v>3809</v>
      </c>
      <c r="D1800" s="1" t="s">
        <v>3810</v>
      </c>
      <c r="E1800" s="1" t="s">
        <v>3819</v>
      </c>
      <c r="F1800" s="1" t="str">
        <f>HYPERLINK("https://talan.bank.gov.ua/get-user-certificate/J53250Bq41dQbMSSHVLc","Завантажити сертифікат")</f>
        <v>Завантажити сертифікат</v>
      </c>
    </row>
    <row r="1801" spans="1:6" ht="43.2" x14ac:dyDescent="0.3">
      <c r="A1801" s="2">
        <v>1800</v>
      </c>
      <c r="B1801" s="1" t="s">
        <v>3820</v>
      </c>
      <c r="C1801" s="1" t="s">
        <v>3809</v>
      </c>
      <c r="D1801" s="1" t="s">
        <v>3810</v>
      </c>
      <c r="E1801" s="1" t="s">
        <v>3821</v>
      </c>
      <c r="F1801" s="1" t="str">
        <f>HYPERLINK("https://talan.bank.gov.ua/get-user-certificate/J5325xf74k-w6BU81cGD","Завантажити сертифікат")</f>
        <v>Завантажити сертифікат</v>
      </c>
    </row>
    <row r="1802" spans="1:6" ht="43.2" x14ac:dyDescent="0.3">
      <c r="A1802" s="2">
        <v>1801</v>
      </c>
      <c r="B1802" s="1" t="s">
        <v>3822</v>
      </c>
      <c r="C1802" s="1" t="s">
        <v>3809</v>
      </c>
      <c r="D1802" s="1" t="s">
        <v>3810</v>
      </c>
      <c r="E1802" s="1" t="s">
        <v>3823</v>
      </c>
      <c r="F1802" s="1" t="str">
        <f>HYPERLINK("https://talan.bank.gov.ua/get-user-certificate/J5325CVwqEoaYsHjxaHK","Завантажити сертифікат")</f>
        <v>Завантажити сертифікат</v>
      </c>
    </row>
    <row r="1803" spans="1:6" ht="43.2" x14ac:dyDescent="0.3">
      <c r="A1803" s="2">
        <v>1802</v>
      </c>
      <c r="B1803" s="1" t="s">
        <v>3824</v>
      </c>
      <c r="C1803" s="1" t="s">
        <v>3809</v>
      </c>
      <c r="D1803" s="1" t="s">
        <v>3810</v>
      </c>
      <c r="E1803" s="1" t="s">
        <v>3825</v>
      </c>
      <c r="F1803" s="1" t="str">
        <f>HYPERLINK("https://talan.bank.gov.ua/get-user-certificate/J5325upDXKQV1RPNLE0O","Завантажити сертифікат")</f>
        <v>Завантажити сертифікат</v>
      </c>
    </row>
    <row r="1804" spans="1:6" ht="43.2" x14ac:dyDescent="0.3">
      <c r="A1804" s="2">
        <v>1803</v>
      </c>
      <c r="B1804" s="1" t="s">
        <v>3826</v>
      </c>
      <c r="C1804" s="1" t="s">
        <v>3809</v>
      </c>
      <c r="D1804" s="1" t="s">
        <v>3810</v>
      </c>
      <c r="E1804" s="1" t="s">
        <v>3827</v>
      </c>
      <c r="F1804" s="1" t="str">
        <f>HYPERLINK("https://talan.bank.gov.ua/get-user-certificate/J5325-nxU4ylT4y6Yl5l","Завантажити сертифікат")</f>
        <v>Завантажити сертифікат</v>
      </c>
    </row>
    <row r="1805" spans="1:6" ht="43.2" x14ac:dyDescent="0.3">
      <c r="A1805" s="2">
        <v>1804</v>
      </c>
      <c r="B1805" s="1" t="s">
        <v>3828</v>
      </c>
      <c r="C1805" s="1" t="s">
        <v>3809</v>
      </c>
      <c r="D1805" s="1" t="s">
        <v>3810</v>
      </c>
      <c r="E1805" s="1" t="s">
        <v>3829</v>
      </c>
      <c r="F1805" s="1" t="str">
        <f>HYPERLINK("https://talan.bank.gov.ua/get-user-certificate/J53257NEWxQTNGmNZPDP","Завантажити сертифікат")</f>
        <v>Завантажити сертифікат</v>
      </c>
    </row>
    <row r="1806" spans="1:6" ht="43.2" x14ac:dyDescent="0.3">
      <c r="A1806" s="2">
        <v>1805</v>
      </c>
      <c r="B1806" s="1" t="s">
        <v>3830</v>
      </c>
      <c r="C1806" s="1" t="s">
        <v>3809</v>
      </c>
      <c r="D1806" s="1" t="s">
        <v>3810</v>
      </c>
      <c r="E1806" s="1" t="s">
        <v>3831</v>
      </c>
      <c r="F1806" s="1" t="str">
        <f>HYPERLINK("https://talan.bank.gov.ua/get-user-certificate/J5325Got2pbeqQ1bJKdS","Завантажити сертифікат")</f>
        <v>Завантажити сертифікат</v>
      </c>
    </row>
    <row r="1807" spans="1:6" ht="43.2" x14ac:dyDescent="0.3">
      <c r="A1807" s="2">
        <v>1806</v>
      </c>
      <c r="B1807" s="1" t="s">
        <v>3832</v>
      </c>
      <c r="C1807" s="1" t="s">
        <v>3809</v>
      </c>
      <c r="D1807" s="1" t="s">
        <v>3810</v>
      </c>
      <c r="E1807" s="1" t="s">
        <v>3833</v>
      </c>
      <c r="F1807" s="1" t="str">
        <f>HYPERLINK("https://talan.bank.gov.ua/get-user-certificate/J53251lM-YAC7lBo1Bw-","Завантажити сертифікат")</f>
        <v>Завантажити сертифікат</v>
      </c>
    </row>
    <row r="1808" spans="1:6" ht="28.8" x14ac:dyDescent="0.3">
      <c r="A1808" s="2">
        <v>1807</v>
      </c>
      <c r="B1808" s="1" t="s">
        <v>3834</v>
      </c>
      <c r="C1808" s="1" t="s">
        <v>3835</v>
      </c>
      <c r="D1808" s="1" t="s">
        <v>3836</v>
      </c>
      <c r="E1808" s="1" t="s">
        <v>3837</v>
      </c>
      <c r="F1808" s="1" t="str">
        <f>HYPERLINK("https://talan.bank.gov.ua/get-user-certificate/J5325EDnOP3HKa8r37kG","Завантажити сертифікат")</f>
        <v>Завантажити сертифікат</v>
      </c>
    </row>
    <row r="1809" spans="1:6" ht="28.8" x14ac:dyDescent="0.3">
      <c r="A1809" s="2">
        <v>1808</v>
      </c>
      <c r="B1809" s="1" t="s">
        <v>3838</v>
      </c>
      <c r="C1809" s="1" t="s">
        <v>3835</v>
      </c>
      <c r="D1809" s="1" t="s">
        <v>3836</v>
      </c>
      <c r="E1809" s="1" t="s">
        <v>3839</v>
      </c>
      <c r="F1809" s="1" t="str">
        <f>HYPERLINK("https://talan.bank.gov.ua/get-user-certificate/J5325az7JU6HsWsG-PgG","Завантажити сертифікат")</f>
        <v>Завантажити сертифікат</v>
      </c>
    </row>
    <row r="1810" spans="1:6" ht="28.8" x14ac:dyDescent="0.3">
      <c r="A1810" s="2">
        <v>1809</v>
      </c>
      <c r="B1810" s="1" t="s">
        <v>3840</v>
      </c>
      <c r="C1810" s="1" t="s">
        <v>3835</v>
      </c>
      <c r="D1810" s="1" t="s">
        <v>3836</v>
      </c>
      <c r="E1810" s="1" t="s">
        <v>3841</v>
      </c>
      <c r="F1810" s="1" t="str">
        <f>HYPERLINK("https://talan.bank.gov.ua/get-user-certificate/J5325W5FrRAoc9NzAsB0","Завантажити сертифікат")</f>
        <v>Завантажити сертифікат</v>
      </c>
    </row>
    <row r="1811" spans="1:6" ht="28.8" x14ac:dyDescent="0.3">
      <c r="A1811" s="2">
        <v>1810</v>
      </c>
      <c r="B1811" s="1" t="s">
        <v>3842</v>
      </c>
      <c r="C1811" s="1" t="s">
        <v>3835</v>
      </c>
      <c r="D1811" s="1" t="s">
        <v>3836</v>
      </c>
      <c r="E1811" s="1" t="s">
        <v>3843</v>
      </c>
      <c r="F1811" s="1" t="str">
        <f>HYPERLINK("https://talan.bank.gov.ua/get-user-certificate/J5325VsVVPLWe2UiUfxx","Завантажити сертифікат")</f>
        <v>Завантажити сертифікат</v>
      </c>
    </row>
    <row r="1812" spans="1:6" ht="28.8" x14ac:dyDescent="0.3">
      <c r="A1812" s="2">
        <v>1811</v>
      </c>
      <c r="B1812" s="1" t="s">
        <v>3844</v>
      </c>
      <c r="C1812" s="1" t="s">
        <v>3835</v>
      </c>
      <c r="D1812" s="1" t="s">
        <v>3836</v>
      </c>
      <c r="E1812" s="1" t="s">
        <v>3845</v>
      </c>
      <c r="F1812" s="1" t="str">
        <f>HYPERLINK("https://talan.bank.gov.ua/get-user-certificate/J5325otKjxivKupeuqki","Завантажити сертифікат")</f>
        <v>Завантажити сертифікат</v>
      </c>
    </row>
    <row r="1813" spans="1:6" ht="28.8" x14ac:dyDescent="0.3">
      <c r="A1813" s="2">
        <v>1812</v>
      </c>
      <c r="B1813" s="1" t="s">
        <v>3846</v>
      </c>
      <c r="C1813" s="1" t="s">
        <v>3835</v>
      </c>
      <c r="D1813" s="1" t="s">
        <v>3836</v>
      </c>
      <c r="E1813" s="1" t="s">
        <v>3847</v>
      </c>
      <c r="F1813" s="1" t="str">
        <f>HYPERLINK("https://talan.bank.gov.ua/get-user-certificate/J53251tmi4hcqgvXcP0m","Завантажити сертифікат")</f>
        <v>Завантажити сертифікат</v>
      </c>
    </row>
    <row r="1814" spans="1:6" ht="28.8" x14ac:dyDescent="0.3">
      <c r="A1814" s="2">
        <v>1813</v>
      </c>
      <c r="B1814" s="1" t="s">
        <v>3848</v>
      </c>
      <c r="C1814" s="1" t="s">
        <v>3835</v>
      </c>
      <c r="D1814" s="1" t="s">
        <v>3836</v>
      </c>
      <c r="E1814" s="1" t="s">
        <v>3849</v>
      </c>
      <c r="F1814" s="1" t="str">
        <f>HYPERLINK("https://talan.bank.gov.ua/get-user-certificate/J5325nJuLce8vufl7HAr","Завантажити сертифікат")</f>
        <v>Завантажити сертифікат</v>
      </c>
    </row>
    <row r="1815" spans="1:6" ht="28.8" x14ac:dyDescent="0.3">
      <c r="A1815" s="2">
        <v>1814</v>
      </c>
      <c r="B1815" s="1" t="s">
        <v>3850</v>
      </c>
      <c r="C1815" s="1" t="s">
        <v>3835</v>
      </c>
      <c r="D1815" s="1" t="s">
        <v>3836</v>
      </c>
      <c r="E1815" s="1" t="s">
        <v>3851</v>
      </c>
      <c r="F1815" s="1" t="str">
        <f>HYPERLINK("https://talan.bank.gov.ua/get-user-certificate/J5325rULYNnOnXJzId47","Завантажити сертифікат")</f>
        <v>Завантажити сертифікат</v>
      </c>
    </row>
    <row r="1816" spans="1:6" ht="28.8" x14ac:dyDescent="0.3">
      <c r="A1816" s="2">
        <v>1815</v>
      </c>
      <c r="B1816" s="1" t="s">
        <v>3852</v>
      </c>
      <c r="C1816" s="1" t="s">
        <v>3835</v>
      </c>
      <c r="D1816" s="1" t="s">
        <v>3836</v>
      </c>
      <c r="E1816" s="1" t="s">
        <v>3853</v>
      </c>
      <c r="F1816" s="1" t="str">
        <f>HYPERLINK("https://talan.bank.gov.ua/get-user-certificate/J5325Uoa3vSTQpi2CDRr","Завантажити сертифікат")</f>
        <v>Завантажити сертифікат</v>
      </c>
    </row>
    <row r="1817" spans="1:6" ht="28.8" x14ac:dyDescent="0.3">
      <c r="A1817" s="2">
        <v>1816</v>
      </c>
      <c r="B1817" s="1" t="s">
        <v>3854</v>
      </c>
      <c r="C1817" s="1" t="s">
        <v>3835</v>
      </c>
      <c r="D1817" s="1" t="s">
        <v>3836</v>
      </c>
      <c r="E1817" s="1" t="s">
        <v>3855</v>
      </c>
      <c r="F1817" s="1" t="str">
        <f>HYPERLINK("https://talan.bank.gov.ua/get-user-certificate/J5325zFWK7nM3t8mc4yZ","Завантажити сертифікат")</f>
        <v>Завантажити сертифікат</v>
      </c>
    </row>
    <row r="1818" spans="1:6" ht="28.8" x14ac:dyDescent="0.3">
      <c r="A1818" s="2">
        <v>1817</v>
      </c>
      <c r="B1818" s="1" t="s">
        <v>3856</v>
      </c>
      <c r="C1818" s="1" t="s">
        <v>3835</v>
      </c>
      <c r="D1818" s="1" t="s">
        <v>3836</v>
      </c>
      <c r="E1818" s="1" t="s">
        <v>3857</v>
      </c>
      <c r="F1818" s="1" t="str">
        <f>HYPERLINK("https://talan.bank.gov.ua/get-user-certificate/J5325NXQUNBGWM9WIdTn","Завантажити сертифікат")</f>
        <v>Завантажити сертифікат</v>
      </c>
    </row>
    <row r="1819" spans="1:6" x14ac:dyDescent="0.3">
      <c r="A1819" s="2">
        <v>1818</v>
      </c>
      <c r="B1819" s="1" t="s">
        <v>3858</v>
      </c>
      <c r="C1819" s="1" t="s">
        <v>3859</v>
      </c>
      <c r="D1819" s="1" t="s">
        <v>3860</v>
      </c>
      <c r="E1819" s="1" t="s">
        <v>3861</v>
      </c>
      <c r="F1819" s="1" t="str">
        <f>HYPERLINK("https://talan.bank.gov.ua/get-user-certificate/J5325BeXF7Nkjcpm018c","Завантажити сертифікат")</f>
        <v>Завантажити сертифікат</v>
      </c>
    </row>
    <row r="1820" spans="1:6" x14ac:dyDescent="0.3">
      <c r="A1820" s="2">
        <v>1819</v>
      </c>
      <c r="B1820" s="1" t="s">
        <v>3862</v>
      </c>
      <c r="C1820" s="1" t="s">
        <v>3859</v>
      </c>
      <c r="D1820" s="1" t="s">
        <v>3860</v>
      </c>
      <c r="E1820" s="1" t="s">
        <v>3863</v>
      </c>
      <c r="F1820" s="1" t="str">
        <f>HYPERLINK("https://talan.bank.gov.ua/get-user-certificate/J5325sXPS8N_8_le0czj","Завантажити сертифікат")</f>
        <v>Завантажити сертифікат</v>
      </c>
    </row>
    <row r="1821" spans="1:6" x14ac:dyDescent="0.3">
      <c r="A1821" s="2">
        <v>1820</v>
      </c>
      <c r="B1821" s="1" t="s">
        <v>3864</v>
      </c>
      <c r="C1821" s="1" t="s">
        <v>3859</v>
      </c>
      <c r="D1821" s="1" t="s">
        <v>3860</v>
      </c>
      <c r="E1821" s="1" t="s">
        <v>3865</v>
      </c>
      <c r="F1821" s="1" t="str">
        <f>HYPERLINK("https://talan.bank.gov.ua/get-user-certificate/J53256FPdp0lA7tZB_sl","Завантажити сертифікат")</f>
        <v>Завантажити сертифікат</v>
      </c>
    </row>
    <row r="1822" spans="1:6" x14ac:dyDescent="0.3">
      <c r="A1822" s="2">
        <v>1821</v>
      </c>
      <c r="B1822" s="1" t="s">
        <v>3866</v>
      </c>
      <c r="C1822" s="1" t="s">
        <v>3859</v>
      </c>
      <c r="D1822" s="1" t="s">
        <v>3860</v>
      </c>
      <c r="E1822" s="1" t="s">
        <v>3867</v>
      </c>
      <c r="F1822" s="1" t="str">
        <f>HYPERLINK("https://talan.bank.gov.ua/get-user-certificate/J5325J-7pmG4XJHKimy9","Завантажити сертифікат")</f>
        <v>Завантажити сертифікат</v>
      </c>
    </row>
    <row r="1823" spans="1:6" x14ac:dyDescent="0.3">
      <c r="A1823" s="2">
        <v>1822</v>
      </c>
      <c r="B1823" s="1" t="s">
        <v>3868</v>
      </c>
      <c r="C1823" s="1" t="s">
        <v>3859</v>
      </c>
      <c r="D1823" s="1" t="s">
        <v>3860</v>
      </c>
      <c r="E1823" s="1" t="s">
        <v>3869</v>
      </c>
      <c r="F1823" s="1" t="str">
        <f>HYPERLINK("https://talan.bank.gov.ua/get-user-certificate/J5325g3Bc64w3pssBc48","Завантажити сертифікат")</f>
        <v>Завантажити сертифікат</v>
      </c>
    </row>
    <row r="1824" spans="1:6" x14ac:dyDescent="0.3">
      <c r="A1824" s="2">
        <v>1823</v>
      </c>
      <c r="B1824" s="1" t="s">
        <v>3870</v>
      </c>
      <c r="C1824" s="1" t="s">
        <v>3859</v>
      </c>
      <c r="D1824" s="1" t="s">
        <v>3860</v>
      </c>
      <c r="E1824" s="1" t="s">
        <v>3871</v>
      </c>
      <c r="F1824" s="1" t="str">
        <f>HYPERLINK("https://talan.bank.gov.ua/get-user-certificate/J5325ncWh0t47XBZwit9","Завантажити сертифікат")</f>
        <v>Завантажити сертифікат</v>
      </c>
    </row>
    <row r="1825" spans="1:6" x14ac:dyDescent="0.3">
      <c r="A1825" s="2">
        <v>1824</v>
      </c>
      <c r="B1825" s="1" t="s">
        <v>3872</v>
      </c>
      <c r="C1825" s="1" t="s">
        <v>3859</v>
      </c>
      <c r="D1825" s="1" t="s">
        <v>3860</v>
      </c>
      <c r="E1825" s="1" t="s">
        <v>3873</v>
      </c>
      <c r="F1825" s="1" t="str">
        <f>HYPERLINK("https://talan.bank.gov.ua/get-user-certificate/J5325RHrzex3olmYDJ-x","Завантажити сертифікат")</f>
        <v>Завантажити сертифікат</v>
      </c>
    </row>
    <row r="1826" spans="1:6" x14ac:dyDescent="0.3">
      <c r="A1826" s="2">
        <v>1825</v>
      </c>
      <c r="B1826" s="1" t="s">
        <v>3874</v>
      </c>
      <c r="C1826" s="1" t="s">
        <v>3859</v>
      </c>
      <c r="D1826" s="1" t="s">
        <v>3860</v>
      </c>
      <c r="E1826" s="1" t="s">
        <v>3875</v>
      </c>
      <c r="F1826" s="1" t="str">
        <f>HYPERLINK("https://talan.bank.gov.ua/get-user-certificate/J5325SG7d4MHgoAhjXrH","Завантажити сертифікат")</f>
        <v>Завантажити сертифікат</v>
      </c>
    </row>
    <row r="1827" spans="1:6" x14ac:dyDescent="0.3">
      <c r="A1827" s="2">
        <v>1826</v>
      </c>
      <c r="B1827" s="1" t="s">
        <v>3876</v>
      </c>
      <c r="C1827" s="1" t="s">
        <v>3859</v>
      </c>
      <c r="D1827" s="1" t="s">
        <v>3860</v>
      </c>
      <c r="E1827" s="1" t="s">
        <v>3877</v>
      </c>
      <c r="F1827" s="1" t="str">
        <f>HYPERLINK("https://talan.bank.gov.ua/get-user-certificate/J5325EjNlZxoMgpO_ykL","Завантажити сертифікат")</f>
        <v>Завантажити сертифікат</v>
      </c>
    </row>
    <row r="1828" spans="1:6" x14ac:dyDescent="0.3">
      <c r="A1828" s="2">
        <v>1827</v>
      </c>
      <c r="B1828" s="1" t="s">
        <v>3878</v>
      </c>
      <c r="C1828" s="1" t="s">
        <v>3859</v>
      </c>
      <c r="D1828" s="1" t="s">
        <v>3860</v>
      </c>
      <c r="E1828" s="1" t="s">
        <v>3879</v>
      </c>
      <c r="F1828" s="1" t="str">
        <f>HYPERLINK("https://talan.bank.gov.ua/get-user-certificate/J5325frdEukGzTYqKx3a","Завантажити сертифікат")</f>
        <v>Завантажити сертифікат</v>
      </c>
    </row>
    <row r="1829" spans="1:6" x14ac:dyDescent="0.3">
      <c r="A1829" s="2">
        <v>1828</v>
      </c>
      <c r="B1829" s="1" t="s">
        <v>3880</v>
      </c>
      <c r="C1829" s="1" t="s">
        <v>3859</v>
      </c>
      <c r="D1829" s="1" t="s">
        <v>3860</v>
      </c>
      <c r="E1829" s="1" t="s">
        <v>3881</v>
      </c>
      <c r="F1829" s="1" t="str">
        <f>HYPERLINK("https://talan.bank.gov.ua/get-user-certificate/J5325uZO1q9yQLb249xo","Завантажити сертифікат")</f>
        <v>Завантажити сертифікат</v>
      </c>
    </row>
    <row r="1830" spans="1:6" x14ac:dyDescent="0.3">
      <c r="A1830" s="2">
        <v>1829</v>
      </c>
      <c r="B1830" s="1" t="s">
        <v>3882</v>
      </c>
      <c r="C1830" s="1" t="s">
        <v>3859</v>
      </c>
      <c r="D1830" s="1" t="s">
        <v>3860</v>
      </c>
      <c r="E1830" s="1" t="s">
        <v>3883</v>
      </c>
      <c r="F1830" s="1" t="str">
        <f>HYPERLINK("https://talan.bank.gov.ua/get-user-certificate/J5325xvTynqJ-DS08xDq","Завантажити сертифікат")</f>
        <v>Завантажити сертифікат</v>
      </c>
    </row>
    <row r="1831" spans="1:6" x14ac:dyDescent="0.3">
      <c r="A1831" s="2">
        <v>1830</v>
      </c>
      <c r="B1831" s="1" t="s">
        <v>3884</v>
      </c>
      <c r="C1831" s="1" t="s">
        <v>3859</v>
      </c>
      <c r="D1831" s="1" t="s">
        <v>3860</v>
      </c>
      <c r="E1831" s="1" t="s">
        <v>3885</v>
      </c>
      <c r="F1831" s="1" t="str">
        <f>HYPERLINK("https://talan.bank.gov.ua/get-user-certificate/J5325bGbK2--b4CXT8rS","Завантажити сертифікат")</f>
        <v>Завантажити сертифікат</v>
      </c>
    </row>
    <row r="1832" spans="1:6" x14ac:dyDescent="0.3">
      <c r="A1832" s="2">
        <v>1831</v>
      </c>
      <c r="B1832" s="1" t="s">
        <v>3886</v>
      </c>
      <c r="C1832" s="1" t="s">
        <v>3859</v>
      </c>
      <c r="D1832" s="1" t="s">
        <v>3860</v>
      </c>
      <c r="E1832" s="1" t="s">
        <v>3887</v>
      </c>
      <c r="F1832" s="1" t="str">
        <f>HYPERLINK("https://talan.bank.gov.ua/get-user-certificate/J5325ATaeXA6q8MOGgqt","Завантажити сертифікат")</f>
        <v>Завантажити сертифікат</v>
      </c>
    </row>
    <row r="1833" spans="1:6" x14ac:dyDescent="0.3">
      <c r="A1833" s="2">
        <v>1832</v>
      </c>
      <c r="B1833" s="1" t="s">
        <v>3888</v>
      </c>
      <c r="C1833" s="1" t="s">
        <v>3859</v>
      </c>
      <c r="D1833" s="1" t="s">
        <v>3860</v>
      </c>
      <c r="E1833" s="1" t="s">
        <v>3889</v>
      </c>
      <c r="F1833" s="1" t="str">
        <f>HYPERLINK("https://talan.bank.gov.ua/get-user-certificate/J5325A7C3_egizYFRYwN","Завантажити сертифікат")</f>
        <v>Завантажити сертифікат</v>
      </c>
    </row>
    <row r="1834" spans="1:6" x14ac:dyDescent="0.3">
      <c r="A1834" s="2">
        <v>1833</v>
      </c>
      <c r="B1834" s="1" t="s">
        <v>3890</v>
      </c>
      <c r="C1834" s="1" t="s">
        <v>3859</v>
      </c>
      <c r="D1834" s="1" t="s">
        <v>3860</v>
      </c>
      <c r="E1834" s="1" t="s">
        <v>3891</v>
      </c>
      <c r="F1834" s="1" t="str">
        <f>HYPERLINK("https://talan.bank.gov.ua/get-user-certificate/J53258K5CrvN7iUQKTwT","Завантажити сертифікат")</f>
        <v>Завантажити сертифікат</v>
      </c>
    </row>
    <row r="1835" spans="1:6" ht="28.8" x14ac:dyDescent="0.3">
      <c r="A1835" s="2">
        <v>1834</v>
      </c>
      <c r="B1835" s="1" t="s">
        <v>3892</v>
      </c>
      <c r="C1835" s="1" t="s">
        <v>3893</v>
      </c>
      <c r="D1835" s="1" t="s">
        <v>3894</v>
      </c>
      <c r="E1835" s="1" t="s">
        <v>3895</v>
      </c>
      <c r="F1835" s="1" t="str">
        <f>HYPERLINK("https://talan.bank.gov.ua/get-user-certificate/J5325QWbt-HIy3qoSssj","Завантажити сертифікат")</f>
        <v>Завантажити сертифікат</v>
      </c>
    </row>
    <row r="1836" spans="1:6" ht="28.8" x14ac:dyDescent="0.3">
      <c r="A1836" s="2">
        <v>1835</v>
      </c>
      <c r="B1836" s="1" t="s">
        <v>3896</v>
      </c>
      <c r="C1836" s="1" t="s">
        <v>3893</v>
      </c>
      <c r="D1836" s="1" t="s">
        <v>3894</v>
      </c>
      <c r="E1836" s="1" t="s">
        <v>3897</v>
      </c>
      <c r="F1836" s="1" t="str">
        <f>HYPERLINK("https://talan.bank.gov.ua/get-user-certificate/J5325T3YYa4Fqmr0X5aj","Завантажити сертифікат")</f>
        <v>Завантажити сертифікат</v>
      </c>
    </row>
    <row r="1837" spans="1:6" ht="28.8" x14ac:dyDescent="0.3">
      <c r="A1837" s="2">
        <v>1836</v>
      </c>
      <c r="B1837" s="1" t="s">
        <v>3898</v>
      </c>
      <c r="C1837" s="1" t="s">
        <v>3893</v>
      </c>
      <c r="D1837" s="1" t="s">
        <v>3894</v>
      </c>
      <c r="E1837" s="1" t="s">
        <v>3899</v>
      </c>
      <c r="F1837" s="1" t="str">
        <f>HYPERLINK("https://talan.bank.gov.ua/get-user-certificate/J5325WwJUDtMYKZut_R-","Завантажити сертифікат")</f>
        <v>Завантажити сертифікат</v>
      </c>
    </row>
    <row r="1838" spans="1:6" ht="28.8" x14ac:dyDescent="0.3">
      <c r="A1838" s="2">
        <v>1837</v>
      </c>
      <c r="B1838" s="1" t="s">
        <v>3900</v>
      </c>
      <c r="C1838" s="1" t="s">
        <v>3893</v>
      </c>
      <c r="D1838" s="1" t="s">
        <v>3894</v>
      </c>
      <c r="E1838" s="1" t="s">
        <v>3901</v>
      </c>
      <c r="F1838" s="1" t="str">
        <f>HYPERLINK("https://talan.bank.gov.ua/get-user-certificate/J5325tvacM68nt5ky0Ba","Завантажити сертифікат")</f>
        <v>Завантажити сертифікат</v>
      </c>
    </row>
    <row r="1839" spans="1:6" ht="28.8" x14ac:dyDescent="0.3">
      <c r="A1839" s="2">
        <v>1838</v>
      </c>
      <c r="B1839" s="1" t="s">
        <v>3902</v>
      </c>
      <c r="C1839" s="1" t="s">
        <v>3903</v>
      </c>
      <c r="D1839" s="1" t="s">
        <v>3904</v>
      </c>
      <c r="E1839" s="1" t="s">
        <v>3905</v>
      </c>
      <c r="F1839" s="1" t="str">
        <f>HYPERLINK("https://talan.bank.gov.ua/get-user-certificate/J5325hd2WoTNB6DzBvi_","Завантажити сертифікат")</f>
        <v>Завантажити сертифікат</v>
      </c>
    </row>
    <row r="1840" spans="1:6" ht="28.8" x14ac:dyDescent="0.3">
      <c r="A1840" s="2">
        <v>1839</v>
      </c>
      <c r="B1840" s="1" t="s">
        <v>3906</v>
      </c>
      <c r="C1840" s="1" t="s">
        <v>3903</v>
      </c>
      <c r="D1840" s="1" t="s">
        <v>3904</v>
      </c>
      <c r="E1840" s="1" t="s">
        <v>3907</v>
      </c>
      <c r="F1840" s="1" t="str">
        <f>HYPERLINK("https://talan.bank.gov.ua/get-user-certificate/J5325kaPLZnw6V4lnRV0","Завантажити сертифікат")</f>
        <v>Завантажити сертифікат</v>
      </c>
    </row>
    <row r="1841" spans="1:6" ht="28.8" x14ac:dyDescent="0.3">
      <c r="A1841" s="2">
        <v>1840</v>
      </c>
      <c r="B1841" s="1" t="s">
        <v>3908</v>
      </c>
      <c r="C1841" s="1" t="s">
        <v>3903</v>
      </c>
      <c r="D1841" s="1" t="s">
        <v>3904</v>
      </c>
      <c r="E1841" s="1" t="s">
        <v>3909</v>
      </c>
      <c r="F1841" s="1" t="str">
        <f>HYPERLINK("https://talan.bank.gov.ua/get-user-certificate/J5325L5PS059u5TPDvf7","Завантажити сертифікат")</f>
        <v>Завантажити сертифікат</v>
      </c>
    </row>
    <row r="1842" spans="1:6" ht="28.8" x14ac:dyDescent="0.3">
      <c r="A1842" s="2">
        <v>1841</v>
      </c>
      <c r="B1842" s="1" t="s">
        <v>3910</v>
      </c>
      <c r="C1842" s="1" t="s">
        <v>3903</v>
      </c>
      <c r="D1842" s="1" t="s">
        <v>3904</v>
      </c>
      <c r="E1842" s="1" t="s">
        <v>3911</v>
      </c>
      <c r="F1842" s="1" t="str">
        <f>HYPERLINK("https://talan.bank.gov.ua/get-user-certificate/J5325NP3XXQhhlehFkGd","Завантажити сертифікат")</f>
        <v>Завантажити сертифікат</v>
      </c>
    </row>
    <row r="1843" spans="1:6" ht="28.8" x14ac:dyDescent="0.3">
      <c r="A1843" s="2">
        <v>1842</v>
      </c>
      <c r="B1843" s="1" t="s">
        <v>3912</v>
      </c>
      <c r="C1843" s="1" t="s">
        <v>3903</v>
      </c>
      <c r="D1843" s="1" t="s">
        <v>3904</v>
      </c>
      <c r="E1843" s="1" t="s">
        <v>3913</v>
      </c>
      <c r="F1843" s="1" t="str">
        <f>HYPERLINK("https://talan.bank.gov.ua/get-user-certificate/J5325vKHxERnh0o4_dVK","Завантажити сертифікат")</f>
        <v>Завантажити сертифікат</v>
      </c>
    </row>
    <row r="1844" spans="1:6" ht="28.8" x14ac:dyDescent="0.3">
      <c r="A1844" s="2">
        <v>1843</v>
      </c>
      <c r="B1844" s="1" t="s">
        <v>3914</v>
      </c>
      <c r="C1844" s="1" t="s">
        <v>3903</v>
      </c>
      <c r="D1844" s="1" t="s">
        <v>3904</v>
      </c>
      <c r="E1844" s="1" t="s">
        <v>3915</v>
      </c>
      <c r="F1844" s="1" t="str">
        <f>HYPERLINK("https://talan.bank.gov.ua/get-user-certificate/J53254q6L4nrtMNWJKCl","Завантажити сертифікат")</f>
        <v>Завантажити сертифікат</v>
      </c>
    </row>
    <row r="1845" spans="1:6" ht="28.8" x14ac:dyDescent="0.3">
      <c r="A1845" s="2">
        <v>1844</v>
      </c>
      <c r="B1845" s="1" t="s">
        <v>3916</v>
      </c>
      <c r="C1845" s="1" t="s">
        <v>3903</v>
      </c>
      <c r="D1845" s="1" t="s">
        <v>3904</v>
      </c>
      <c r="E1845" s="1" t="s">
        <v>3917</v>
      </c>
      <c r="F1845" s="1" t="str">
        <f>HYPERLINK("https://talan.bank.gov.ua/get-user-certificate/J5325eVVV09N3K1ijztR","Завантажити сертифікат")</f>
        <v>Завантажити сертифікат</v>
      </c>
    </row>
    <row r="1846" spans="1:6" ht="28.8" x14ac:dyDescent="0.3">
      <c r="A1846" s="2">
        <v>1845</v>
      </c>
      <c r="B1846" s="1" t="s">
        <v>3918</v>
      </c>
      <c r="C1846" s="1" t="s">
        <v>3903</v>
      </c>
      <c r="D1846" s="1" t="s">
        <v>3904</v>
      </c>
      <c r="E1846" s="1" t="s">
        <v>3919</v>
      </c>
      <c r="F1846" s="1" t="str">
        <f>HYPERLINK("https://talan.bank.gov.ua/get-user-certificate/J5325DQMXZQGuY8TcM6G","Завантажити сертифікат")</f>
        <v>Завантажити сертифікат</v>
      </c>
    </row>
    <row r="1847" spans="1:6" ht="28.8" x14ac:dyDescent="0.3">
      <c r="A1847" s="2">
        <v>1846</v>
      </c>
      <c r="B1847" s="1" t="s">
        <v>3920</v>
      </c>
      <c r="C1847" s="1" t="s">
        <v>3903</v>
      </c>
      <c r="D1847" s="1" t="s">
        <v>3904</v>
      </c>
      <c r="E1847" s="1" t="s">
        <v>3921</v>
      </c>
      <c r="F1847" s="1" t="str">
        <f>HYPERLINK("https://talan.bank.gov.ua/get-user-certificate/J5325hltcosEKNh0A-zg","Завантажити сертифікат")</f>
        <v>Завантажити сертифікат</v>
      </c>
    </row>
    <row r="1848" spans="1:6" ht="28.8" x14ac:dyDescent="0.3">
      <c r="A1848" s="2">
        <v>1847</v>
      </c>
      <c r="B1848" s="1" t="s">
        <v>3922</v>
      </c>
      <c r="C1848" s="1" t="s">
        <v>3903</v>
      </c>
      <c r="D1848" s="1" t="s">
        <v>3904</v>
      </c>
      <c r="E1848" s="1" t="s">
        <v>3923</v>
      </c>
      <c r="F1848" s="1" t="str">
        <f>HYPERLINK("https://talan.bank.gov.ua/get-user-certificate/J5325wDb-WjsE2VcmV-l","Завантажити сертифікат")</f>
        <v>Завантажити сертифікат</v>
      </c>
    </row>
    <row r="1849" spans="1:6" ht="28.8" x14ac:dyDescent="0.3">
      <c r="A1849" s="2">
        <v>1848</v>
      </c>
      <c r="B1849" s="1" t="s">
        <v>3924</v>
      </c>
      <c r="C1849" s="1" t="s">
        <v>3903</v>
      </c>
      <c r="D1849" s="1" t="s">
        <v>3904</v>
      </c>
      <c r="E1849" s="1" t="s">
        <v>3925</v>
      </c>
      <c r="F1849" s="1" t="str">
        <f>HYPERLINK("https://talan.bank.gov.ua/get-user-certificate/J5325VlXd66QEYL0wdmf","Завантажити сертифікат")</f>
        <v>Завантажити сертифікат</v>
      </c>
    </row>
    <row r="1850" spans="1:6" ht="28.8" x14ac:dyDescent="0.3">
      <c r="A1850" s="2">
        <v>1849</v>
      </c>
      <c r="B1850" s="1" t="s">
        <v>3926</v>
      </c>
      <c r="C1850" s="1" t="s">
        <v>3903</v>
      </c>
      <c r="D1850" s="1" t="s">
        <v>3904</v>
      </c>
      <c r="E1850" s="1" t="s">
        <v>3927</v>
      </c>
      <c r="F1850" s="1" t="str">
        <f>HYPERLINK("https://talan.bank.gov.ua/get-user-certificate/J5325AdkgvrCd07EGM_q","Завантажити сертифікат")</f>
        <v>Завантажити сертифікат</v>
      </c>
    </row>
    <row r="1851" spans="1:6" x14ac:dyDescent="0.3">
      <c r="A1851" s="2">
        <v>1850</v>
      </c>
      <c r="B1851" s="1" t="s">
        <v>3928</v>
      </c>
      <c r="C1851" s="1" t="s">
        <v>3929</v>
      </c>
      <c r="D1851" s="1" t="s">
        <v>3930</v>
      </c>
      <c r="E1851" s="1" t="s">
        <v>3931</v>
      </c>
      <c r="F1851" s="1" t="str">
        <f>HYPERLINK("https://talan.bank.gov.ua/get-user-certificate/J5325Z21h-n1uuf5OXKo","Завантажити сертифікат")</f>
        <v>Завантажити сертифікат</v>
      </c>
    </row>
    <row r="1852" spans="1:6" x14ac:dyDescent="0.3">
      <c r="A1852" s="2">
        <v>1851</v>
      </c>
      <c r="B1852" s="1" t="s">
        <v>3932</v>
      </c>
      <c r="C1852" s="1" t="s">
        <v>3929</v>
      </c>
      <c r="D1852" s="1" t="s">
        <v>3930</v>
      </c>
      <c r="E1852" s="1" t="s">
        <v>3933</v>
      </c>
      <c r="F1852" s="1" t="str">
        <f>HYPERLINK("https://talan.bank.gov.ua/get-user-certificate/J5325noZBPzgmtKRjRSb","Завантажити сертифікат")</f>
        <v>Завантажити сертифікат</v>
      </c>
    </row>
    <row r="1853" spans="1:6" ht="28.8" x14ac:dyDescent="0.3">
      <c r="A1853" s="2">
        <v>1852</v>
      </c>
      <c r="B1853" s="1" t="s">
        <v>3934</v>
      </c>
      <c r="C1853" s="1" t="s">
        <v>3935</v>
      </c>
      <c r="D1853" s="1" t="s">
        <v>3936</v>
      </c>
      <c r="E1853" s="1" t="s">
        <v>3937</v>
      </c>
      <c r="F1853" s="1" t="str">
        <f>HYPERLINK("https://talan.bank.gov.ua/get-user-certificate/J5325cE1YUCHamVjh5_u","Завантажити сертифікат")</f>
        <v>Завантажити сертифікат</v>
      </c>
    </row>
    <row r="1854" spans="1:6" ht="28.8" x14ac:dyDescent="0.3">
      <c r="A1854" s="2">
        <v>1853</v>
      </c>
      <c r="B1854" s="1" t="s">
        <v>3938</v>
      </c>
      <c r="C1854" s="1" t="s">
        <v>3935</v>
      </c>
      <c r="D1854" s="1" t="s">
        <v>3936</v>
      </c>
      <c r="E1854" s="1" t="s">
        <v>3939</v>
      </c>
      <c r="F1854" s="1" t="str">
        <f>HYPERLINK("https://talan.bank.gov.ua/get-user-certificate/J5325PGEu8HWXkm9l_Zt","Завантажити сертифікат")</f>
        <v>Завантажити сертифікат</v>
      </c>
    </row>
    <row r="1855" spans="1:6" ht="28.8" x14ac:dyDescent="0.3">
      <c r="A1855" s="2">
        <v>1854</v>
      </c>
      <c r="B1855" s="1" t="s">
        <v>3940</v>
      </c>
      <c r="C1855" s="1" t="s">
        <v>3935</v>
      </c>
      <c r="D1855" s="1" t="s">
        <v>3936</v>
      </c>
      <c r="E1855" s="1" t="s">
        <v>3941</v>
      </c>
      <c r="F1855" s="1" t="str">
        <f>HYPERLINK("https://talan.bank.gov.ua/get-user-certificate/J5325-sSIQwt82OfDN-P","Завантажити сертифікат")</f>
        <v>Завантажити сертифікат</v>
      </c>
    </row>
    <row r="1856" spans="1:6" ht="28.8" x14ac:dyDescent="0.3">
      <c r="A1856" s="2">
        <v>1855</v>
      </c>
      <c r="B1856" s="1" t="s">
        <v>3942</v>
      </c>
      <c r="C1856" s="1" t="s">
        <v>3935</v>
      </c>
      <c r="D1856" s="1" t="s">
        <v>3936</v>
      </c>
      <c r="E1856" s="1" t="s">
        <v>3943</v>
      </c>
      <c r="F1856" s="1" t="str">
        <f>HYPERLINK("https://talan.bank.gov.ua/get-user-certificate/J5325Ke5t9z6Wk7wrx1g","Завантажити сертифікат")</f>
        <v>Завантажити сертифікат</v>
      </c>
    </row>
    <row r="1857" spans="1:6" ht="28.8" x14ac:dyDescent="0.3">
      <c r="A1857" s="2">
        <v>1856</v>
      </c>
      <c r="B1857" s="1" t="s">
        <v>3944</v>
      </c>
      <c r="C1857" s="1" t="s">
        <v>3935</v>
      </c>
      <c r="D1857" s="1" t="s">
        <v>3936</v>
      </c>
      <c r="E1857" s="1" t="s">
        <v>3945</v>
      </c>
      <c r="F1857" s="1" t="str">
        <f>HYPERLINK("https://talan.bank.gov.ua/get-user-certificate/J53250So4Imulw2YGSyC","Завантажити сертифікат")</f>
        <v>Завантажити сертифікат</v>
      </c>
    </row>
    <row r="1858" spans="1:6" ht="28.8" x14ac:dyDescent="0.3">
      <c r="A1858" s="2">
        <v>1857</v>
      </c>
      <c r="B1858" s="1" t="s">
        <v>3946</v>
      </c>
      <c r="C1858" s="1" t="s">
        <v>3935</v>
      </c>
      <c r="D1858" s="1" t="s">
        <v>3936</v>
      </c>
      <c r="E1858" s="1" t="s">
        <v>3947</v>
      </c>
      <c r="F1858" s="1" t="str">
        <f>HYPERLINK("https://talan.bank.gov.ua/get-user-certificate/J5325wz9ApeLfuXGZSaF","Завантажити сертифікат")</f>
        <v>Завантажити сертифікат</v>
      </c>
    </row>
    <row r="1859" spans="1:6" ht="28.8" x14ac:dyDescent="0.3">
      <c r="A1859" s="2">
        <v>1858</v>
      </c>
      <c r="B1859" s="1" t="s">
        <v>3948</v>
      </c>
      <c r="C1859" s="1" t="s">
        <v>3935</v>
      </c>
      <c r="D1859" s="1" t="s">
        <v>3936</v>
      </c>
      <c r="E1859" s="1" t="s">
        <v>3949</v>
      </c>
      <c r="F1859" s="1" t="str">
        <f>HYPERLINK("https://talan.bank.gov.ua/get-user-certificate/J5325vVTe1XsSbROJ9Pz","Завантажити сертифікат")</f>
        <v>Завантажити сертифікат</v>
      </c>
    </row>
    <row r="1860" spans="1:6" ht="28.8" x14ac:dyDescent="0.3">
      <c r="A1860" s="2">
        <v>1859</v>
      </c>
      <c r="B1860" s="1" t="s">
        <v>3950</v>
      </c>
      <c r="C1860" s="1" t="s">
        <v>3935</v>
      </c>
      <c r="D1860" s="1" t="s">
        <v>3936</v>
      </c>
      <c r="E1860" s="1" t="s">
        <v>3951</v>
      </c>
      <c r="F1860" s="1" t="str">
        <f>HYPERLINK("https://talan.bank.gov.ua/get-user-certificate/J5325Q8o5Hf6DGu1twvZ","Завантажити сертифікат")</f>
        <v>Завантажити сертифікат</v>
      </c>
    </row>
    <row r="1861" spans="1:6" ht="28.8" x14ac:dyDescent="0.3">
      <c r="A1861" s="2">
        <v>1860</v>
      </c>
      <c r="B1861" s="1" t="s">
        <v>3952</v>
      </c>
      <c r="C1861" s="1" t="s">
        <v>3935</v>
      </c>
      <c r="D1861" s="1" t="s">
        <v>3936</v>
      </c>
      <c r="E1861" s="1" t="s">
        <v>3953</v>
      </c>
      <c r="F1861" s="1" t="str">
        <f>HYPERLINK("https://talan.bank.gov.ua/get-user-certificate/J5325XeEYOJvIn-VOboA","Завантажити сертифікат")</f>
        <v>Завантажити сертифікат</v>
      </c>
    </row>
    <row r="1862" spans="1:6" ht="28.8" x14ac:dyDescent="0.3">
      <c r="A1862" s="2">
        <v>1861</v>
      </c>
      <c r="B1862" s="1" t="s">
        <v>3954</v>
      </c>
      <c r="C1862" s="1" t="s">
        <v>3935</v>
      </c>
      <c r="D1862" s="1" t="s">
        <v>3936</v>
      </c>
      <c r="E1862" s="1" t="s">
        <v>3955</v>
      </c>
      <c r="F1862" s="1" t="str">
        <f>HYPERLINK("https://talan.bank.gov.ua/get-user-certificate/J5325mP1fO-dp_IQjpVD","Завантажити сертифікат")</f>
        <v>Завантажити сертифікат</v>
      </c>
    </row>
    <row r="1863" spans="1:6" ht="28.8" x14ac:dyDescent="0.3">
      <c r="A1863" s="2">
        <v>1862</v>
      </c>
      <c r="B1863" s="1" t="s">
        <v>3956</v>
      </c>
      <c r="C1863" s="1" t="s">
        <v>3935</v>
      </c>
      <c r="D1863" s="1" t="s">
        <v>3936</v>
      </c>
      <c r="E1863" s="1" t="s">
        <v>3957</v>
      </c>
      <c r="F1863" s="1" t="str">
        <f>HYPERLINK("https://talan.bank.gov.ua/get-user-certificate/J5325SzMQIdFdEit4Z6X","Завантажити сертифікат")</f>
        <v>Завантажити сертифікат</v>
      </c>
    </row>
    <row r="1864" spans="1:6" ht="28.8" x14ac:dyDescent="0.3">
      <c r="A1864" s="2">
        <v>1863</v>
      </c>
      <c r="B1864" s="1" t="s">
        <v>3958</v>
      </c>
      <c r="C1864" s="1" t="s">
        <v>3935</v>
      </c>
      <c r="D1864" s="1" t="s">
        <v>3936</v>
      </c>
      <c r="E1864" s="1" t="s">
        <v>3959</v>
      </c>
      <c r="F1864" s="1" t="str">
        <f>HYPERLINK("https://talan.bank.gov.ua/get-user-certificate/J53257Ydz6YMCYfTShmN","Завантажити сертифікат")</f>
        <v>Завантажити сертифікат</v>
      </c>
    </row>
    <row r="1865" spans="1:6" ht="28.8" x14ac:dyDescent="0.3">
      <c r="A1865" s="2">
        <v>1864</v>
      </c>
      <c r="B1865" s="1" t="s">
        <v>3960</v>
      </c>
      <c r="C1865" s="1" t="s">
        <v>3935</v>
      </c>
      <c r="D1865" s="1" t="s">
        <v>3936</v>
      </c>
      <c r="E1865" s="1" t="s">
        <v>3961</v>
      </c>
      <c r="F1865" s="1" t="str">
        <f>HYPERLINK("https://talan.bank.gov.ua/get-user-certificate/J53250M7j30ZctxbusaV","Завантажити сертифікат")</f>
        <v>Завантажити сертифікат</v>
      </c>
    </row>
    <row r="1866" spans="1:6" ht="28.8" x14ac:dyDescent="0.3">
      <c r="A1866" s="2">
        <v>1865</v>
      </c>
      <c r="B1866" s="1" t="s">
        <v>3962</v>
      </c>
      <c r="C1866" s="1" t="s">
        <v>3935</v>
      </c>
      <c r="D1866" s="1" t="s">
        <v>3936</v>
      </c>
      <c r="E1866" s="1" t="s">
        <v>3963</v>
      </c>
      <c r="F1866" s="1" t="str">
        <f>HYPERLINK("https://talan.bank.gov.ua/get-user-certificate/J5325rJCRTbVYUiMC3sX","Завантажити сертифікат")</f>
        <v>Завантажити сертифікат</v>
      </c>
    </row>
    <row r="1867" spans="1:6" ht="28.8" x14ac:dyDescent="0.3">
      <c r="A1867" s="2">
        <v>1866</v>
      </c>
      <c r="B1867" s="1" t="s">
        <v>3964</v>
      </c>
      <c r="C1867" s="1" t="s">
        <v>3935</v>
      </c>
      <c r="D1867" s="1" t="s">
        <v>3936</v>
      </c>
      <c r="E1867" s="1" t="s">
        <v>3965</v>
      </c>
      <c r="F1867" s="1" t="str">
        <f>HYPERLINK("https://talan.bank.gov.ua/get-user-certificate/J5325SwQayyP_7jxk2z7","Завантажити сертифікат")</f>
        <v>Завантажити сертифікат</v>
      </c>
    </row>
    <row r="1868" spans="1:6" ht="28.8" x14ac:dyDescent="0.3">
      <c r="A1868" s="2">
        <v>1867</v>
      </c>
      <c r="B1868" s="1" t="s">
        <v>3966</v>
      </c>
      <c r="C1868" s="1" t="s">
        <v>3935</v>
      </c>
      <c r="D1868" s="1" t="s">
        <v>3936</v>
      </c>
      <c r="E1868" s="1" t="s">
        <v>3967</v>
      </c>
      <c r="F1868" s="1" t="str">
        <f>HYPERLINK("https://talan.bank.gov.ua/get-user-certificate/J5325SbK5LEB0gkPUhuK","Завантажити сертифікат")</f>
        <v>Завантажити сертифікат</v>
      </c>
    </row>
    <row r="1869" spans="1:6" ht="28.8" x14ac:dyDescent="0.3">
      <c r="A1869" s="2">
        <v>1868</v>
      </c>
      <c r="B1869" s="1" t="s">
        <v>3968</v>
      </c>
      <c r="C1869" s="1" t="s">
        <v>3935</v>
      </c>
      <c r="D1869" s="1" t="s">
        <v>3936</v>
      </c>
      <c r="E1869" s="1" t="s">
        <v>3969</v>
      </c>
      <c r="F1869" s="1" t="str">
        <f>HYPERLINK("https://talan.bank.gov.ua/get-user-certificate/J5325I4DxE3mZAtev9Gs","Завантажити сертифікат")</f>
        <v>Завантажити сертифікат</v>
      </c>
    </row>
    <row r="1870" spans="1:6" ht="28.8" x14ac:dyDescent="0.3">
      <c r="A1870" s="2">
        <v>1869</v>
      </c>
      <c r="B1870" s="1" t="s">
        <v>3970</v>
      </c>
      <c r="C1870" s="1" t="s">
        <v>3935</v>
      </c>
      <c r="D1870" s="1" t="s">
        <v>3936</v>
      </c>
      <c r="E1870" s="1" t="s">
        <v>3971</v>
      </c>
      <c r="F1870" s="1" t="str">
        <f>HYPERLINK("https://talan.bank.gov.ua/get-user-certificate/J5325lfLmpQVSk2SjVxC","Завантажити сертифікат")</f>
        <v>Завантажити сертифікат</v>
      </c>
    </row>
    <row r="1871" spans="1:6" ht="28.8" x14ac:dyDescent="0.3">
      <c r="A1871" s="2">
        <v>1870</v>
      </c>
      <c r="B1871" s="1" t="s">
        <v>3972</v>
      </c>
      <c r="C1871" s="1" t="s">
        <v>3935</v>
      </c>
      <c r="D1871" s="1" t="s">
        <v>3936</v>
      </c>
      <c r="E1871" s="1" t="s">
        <v>3973</v>
      </c>
      <c r="F1871" s="1" t="str">
        <f>HYPERLINK("https://talan.bank.gov.ua/get-user-certificate/J5325x5KpvMMstaThw7H","Завантажити сертифікат")</f>
        <v>Завантажити сертифікат</v>
      </c>
    </row>
    <row r="1872" spans="1:6" ht="28.8" x14ac:dyDescent="0.3">
      <c r="A1872" s="2">
        <v>1871</v>
      </c>
      <c r="B1872" s="1" t="s">
        <v>3974</v>
      </c>
      <c r="C1872" s="1" t="s">
        <v>3935</v>
      </c>
      <c r="D1872" s="1" t="s">
        <v>3936</v>
      </c>
      <c r="E1872" s="1" t="s">
        <v>3975</v>
      </c>
      <c r="F1872" s="1" t="str">
        <f>HYPERLINK("https://talan.bank.gov.ua/get-user-certificate/J5325ahVc6a_AIU-rZDh","Завантажити сертифікат")</f>
        <v>Завантажити сертифікат</v>
      </c>
    </row>
    <row r="1873" spans="1:6" ht="28.8" x14ac:dyDescent="0.3">
      <c r="A1873" s="2">
        <v>1872</v>
      </c>
      <c r="B1873" s="1" t="s">
        <v>3976</v>
      </c>
      <c r="C1873" s="1" t="s">
        <v>3935</v>
      </c>
      <c r="D1873" s="1" t="s">
        <v>3936</v>
      </c>
      <c r="E1873" s="1" t="s">
        <v>3977</v>
      </c>
      <c r="F1873" s="1" t="str">
        <f>HYPERLINK("https://talan.bank.gov.ua/get-user-certificate/J5325q1Hn3Y2XVEVbGvr","Завантажити сертифікат")</f>
        <v>Завантажити сертифікат</v>
      </c>
    </row>
    <row r="1874" spans="1:6" ht="28.8" x14ac:dyDescent="0.3">
      <c r="A1874" s="2">
        <v>1873</v>
      </c>
      <c r="B1874" s="1" t="s">
        <v>3978</v>
      </c>
      <c r="C1874" s="1" t="s">
        <v>3935</v>
      </c>
      <c r="D1874" s="1" t="s">
        <v>3936</v>
      </c>
      <c r="E1874" s="1" t="s">
        <v>3979</v>
      </c>
      <c r="F1874" s="1" t="str">
        <f>HYPERLINK("https://talan.bank.gov.ua/get-user-certificate/J5325gsZi69oO85-GhOQ","Завантажити сертифікат")</f>
        <v>Завантажити сертифікат</v>
      </c>
    </row>
    <row r="1875" spans="1:6" ht="28.8" x14ac:dyDescent="0.3">
      <c r="A1875" s="2">
        <v>1874</v>
      </c>
      <c r="B1875" s="1" t="s">
        <v>3980</v>
      </c>
      <c r="C1875" s="1" t="s">
        <v>3935</v>
      </c>
      <c r="D1875" s="1" t="s">
        <v>3936</v>
      </c>
      <c r="E1875" s="1" t="s">
        <v>3981</v>
      </c>
      <c r="F1875" s="1" t="str">
        <f>HYPERLINK("https://talan.bank.gov.ua/get-user-certificate/J5325fiGKCXd04qhzPNJ","Завантажити сертифікат")</f>
        <v>Завантажити сертифікат</v>
      </c>
    </row>
    <row r="1876" spans="1:6" ht="28.8" x14ac:dyDescent="0.3">
      <c r="A1876" s="2">
        <v>1875</v>
      </c>
      <c r="B1876" s="1" t="s">
        <v>3982</v>
      </c>
      <c r="C1876" s="1" t="s">
        <v>3935</v>
      </c>
      <c r="D1876" s="1" t="s">
        <v>3936</v>
      </c>
      <c r="E1876" s="1" t="s">
        <v>3983</v>
      </c>
      <c r="F1876" s="1" t="str">
        <f>HYPERLINK("https://talan.bank.gov.ua/get-user-certificate/J53255Emd93xxg8qEGo-","Завантажити сертифікат")</f>
        <v>Завантажити сертифікат</v>
      </c>
    </row>
    <row r="1877" spans="1:6" ht="28.8" x14ac:dyDescent="0.3">
      <c r="A1877" s="2">
        <v>1876</v>
      </c>
      <c r="B1877" s="1" t="s">
        <v>3984</v>
      </c>
      <c r="C1877" s="1" t="s">
        <v>3935</v>
      </c>
      <c r="D1877" s="1" t="s">
        <v>3936</v>
      </c>
      <c r="E1877" s="1" t="s">
        <v>3985</v>
      </c>
      <c r="F1877" s="1" t="str">
        <f>HYPERLINK("https://talan.bank.gov.ua/get-user-certificate/J5325squjUaFkOhLkDVu","Завантажити сертифікат")</f>
        <v>Завантажити сертифікат</v>
      </c>
    </row>
    <row r="1878" spans="1:6" ht="28.8" x14ac:dyDescent="0.3">
      <c r="A1878" s="2">
        <v>1877</v>
      </c>
      <c r="B1878" s="1" t="s">
        <v>3986</v>
      </c>
      <c r="C1878" s="1" t="s">
        <v>3935</v>
      </c>
      <c r="D1878" s="1" t="s">
        <v>3936</v>
      </c>
      <c r="E1878" s="1" t="s">
        <v>3987</v>
      </c>
      <c r="F1878" s="1" t="str">
        <f>HYPERLINK("https://talan.bank.gov.ua/get-user-certificate/J5325OygjTUkjK3HLOJY","Завантажити сертифікат")</f>
        <v>Завантажити сертифікат</v>
      </c>
    </row>
    <row r="1879" spans="1:6" ht="28.8" x14ac:dyDescent="0.3">
      <c r="A1879" s="2">
        <v>1878</v>
      </c>
      <c r="B1879" s="1" t="s">
        <v>3988</v>
      </c>
      <c r="C1879" s="1" t="s">
        <v>3935</v>
      </c>
      <c r="D1879" s="1" t="s">
        <v>3936</v>
      </c>
      <c r="E1879" s="1" t="s">
        <v>3989</v>
      </c>
      <c r="F1879" s="1" t="str">
        <f>HYPERLINK("https://talan.bank.gov.ua/get-user-certificate/J5325zyIaf-U59A4A1jy","Завантажити сертифікат")</f>
        <v>Завантажити сертифікат</v>
      </c>
    </row>
    <row r="1880" spans="1:6" ht="28.8" x14ac:dyDescent="0.3">
      <c r="A1880" s="2">
        <v>1879</v>
      </c>
      <c r="B1880" s="1" t="s">
        <v>3990</v>
      </c>
      <c r="C1880" s="1" t="s">
        <v>3935</v>
      </c>
      <c r="D1880" s="1" t="s">
        <v>3936</v>
      </c>
      <c r="E1880" s="1" t="s">
        <v>3991</v>
      </c>
      <c r="F1880" s="1" t="str">
        <f>HYPERLINK("https://talan.bank.gov.ua/get-user-certificate/J5325tbOo0UlFcmMHuvz","Завантажити сертифікат")</f>
        <v>Завантажити сертифікат</v>
      </c>
    </row>
    <row r="1881" spans="1:6" ht="28.8" x14ac:dyDescent="0.3">
      <c r="A1881" s="2">
        <v>1880</v>
      </c>
      <c r="B1881" s="1" t="s">
        <v>3992</v>
      </c>
      <c r="C1881" s="1" t="s">
        <v>3935</v>
      </c>
      <c r="D1881" s="1" t="s">
        <v>3936</v>
      </c>
      <c r="E1881" s="1" t="s">
        <v>3993</v>
      </c>
      <c r="F1881" s="1" t="str">
        <f>HYPERLINK("https://talan.bank.gov.ua/get-user-certificate/J5325NPvbJV-sfyIp3dr","Завантажити сертифікат")</f>
        <v>Завантажити сертифікат</v>
      </c>
    </row>
    <row r="1882" spans="1:6" ht="28.8" x14ac:dyDescent="0.3">
      <c r="A1882" s="2">
        <v>1881</v>
      </c>
      <c r="B1882" s="1" t="s">
        <v>3994</v>
      </c>
      <c r="C1882" s="1" t="s">
        <v>3995</v>
      </c>
      <c r="D1882" s="1" t="s">
        <v>3996</v>
      </c>
      <c r="E1882" s="1" t="s">
        <v>3997</v>
      </c>
      <c r="F1882" s="1" t="str">
        <f>HYPERLINK("https://talan.bank.gov.ua/get-user-certificate/J5325bzHAmzz-1kh2cTL","Завантажити сертифікат")</f>
        <v>Завантажити сертифікат</v>
      </c>
    </row>
    <row r="1883" spans="1:6" ht="28.8" x14ac:dyDescent="0.3">
      <c r="A1883" s="2">
        <v>1882</v>
      </c>
      <c r="B1883" s="1" t="s">
        <v>3998</v>
      </c>
      <c r="C1883" s="1" t="s">
        <v>3995</v>
      </c>
      <c r="D1883" s="1" t="s">
        <v>3996</v>
      </c>
      <c r="E1883" s="1" t="s">
        <v>3999</v>
      </c>
      <c r="F1883" s="1" t="str">
        <f>HYPERLINK("https://talan.bank.gov.ua/get-user-certificate/J5325IK4k4WpnpClMVB7","Завантажити сертифікат")</f>
        <v>Завантажити сертифікат</v>
      </c>
    </row>
    <row r="1884" spans="1:6" ht="28.8" x14ac:dyDescent="0.3">
      <c r="A1884" s="2">
        <v>1883</v>
      </c>
      <c r="B1884" s="1" t="s">
        <v>4000</v>
      </c>
      <c r="C1884" s="1" t="s">
        <v>3995</v>
      </c>
      <c r="D1884" s="1" t="s">
        <v>3996</v>
      </c>
      <c r="E1884" s="1" t="s">
        <v>4001</v>
      </c>
      <c r="F1884" s="1" t="str">
        <f>HYPERLINK("https://talan.bank.gov.ua/get-user-certificate/J53257TaS3pDe7z-LniF","Завантажити сертифікат")</f>
        <v>Завантажити сертифікат</v>
      </c>
    </row>
    <row r="1885" spans="1:6" ht="28.8" x14ac:dyDescent="0.3">
      <c r="A1885" s="2">
        <v>1884</v>
      </c>
      <c r="B1885" s="1" t="s">
        <v>4002</v>
      </c>
      <c r="C1885" s="1" t="s">
        <v>3995</v>
      </c>
      <c r="D1885" s="1" t="s">
        <v>3996</v>
      </c>
      <c r="E1885" s="1" t="s">
        <v>4003</v>
      </c>
      <c r="F1885" s="1" t="str">
        <f>HYPERLINK("https://talan.bank.gov.ua/get-user-certificate/J5325JQuR2NjY1qDgPnE","Завантажити сертифікат")</f>
        <v>Завантажити сертифікат</v>
      </c>
    </row>
    <row r="1886" spans="1:6" ht="28.8" x14ac:dyDescent="0.3">
      <c r="A1886" s="2">
        <v>1885</v>
      </c>
      <c r="B1886" s="1" t="s">
        <v>4004</v>
      </c>
      <c r="C1886" s="1" t="s">
        <v>3995</v>
      </c>
      <c r="D1886" s="1" t="s">
        <v>3996</v>
      </c>
      <c r="E1886" s="1" t="s">
        <v>4005</v>
      </c>
      <c r="F1886" s="1" t="str">
        <f>HYPERLINK("https://talan.bank.gov.ua/get-user-certificate/J5325VZ0aklG0I1hPaU9","Завантажити сертифікат")</f>
        <v>Завантажити сертифікат</v>
      </c>
    </row>
    <row r="1887" spans="1:6" ht="28.8" x14ac:dyDescent="0.3">
      <c r="A1887" s="2">
        <v>1886</v>
      </c>
      <c r="B1887" s="1" t="s">
        <v>4006</v>
      </c>
      <c r="C1887" s="1" t="s">
        <v>3995</v>
      </c>
      <c r="D1887" s="1" t="s">
        <v>3996</v>
      </c>
      <c r="E1887" s="1" t="s">
        <v>4007</v>
      </c>
      <c r="F1887" s="1" t="str">
        <f>HYPERLINK("https://talan.bank.gov.ua/get-user-certificate/J5325b9ofZ_77xtJigx6","Завантажити сертифікат")</f>
        <v>Завантажити сертифікат</v>
      </c>
    </row>
    <row r="1888" spans="1:6" ht="28.8" x14ac:dyDescent="0.3">
      <c r="A1888" s="2">
        <v>1887</v>
      </c>
      <c r="B1888" s="1" t="s">
        <v>4008</v>
      </c>
      <c r="C1888" s="1" t="s">
        <v>3995</v>
      </c>
      <c r="D1888" s="1" t="s">
        <v>3996</v>
      </c>
      <c r="E1888" s="1" t="s">
        <v>4009</v>
      </c>
      <c r="F1888" s="1" t="str">
        <f>HYPERLINK("https://talan.bank.gov.ua/get-user-certificate/J5325KeZs2Ue10W4lzFV","Завантажити сертифікат")</f>
        <v>Завантажити сертифікат</v>
      </c>
    </row>
    <row r="1889" spans="1:6" ht="28.8" x14ac:dyDescent="0.3">
      <c r="A1889" s="2">
        <v>1888</v>
      </c>
      <c r="B1889" s="1" t="s">
        <v>4010</v>
      </c>
      <c r="C1889" s="1" t="s">
        <v>3995</v>
      </c>
      <c r="D1889" s="1" t="s">
        <v>3996</v>
      </c>
      <c r="E1889" s="1" t="s">
        <v>4011</v>
      </c>
      <c r="F1889" s="1" t="str">
        <f>HYPERLINK("https://talan.bank.gov.ua/get-user-certificate/J5325CZdiczboFMDiUoS","Завантажити сертифікат")</f>
        <v>Завантажити сертифікат</v>
      </c>
    </row>
    <row r="1890" spans="1:6" ht="28.8" x14ac:dyDescent="0.3">
      <c r="A1890" s="2">
        <v>1889</v>
      </c>
      <c r="B1890" s="1" t="s">
        <v>4012</v>
      </c>
      <c r="C1890" s="1" t="s">
        <v>3995</v>
      </c>
      <c r="D1890" s="1" t="s">
        <v>3996</v>
      </c>
      <c r="E1890" s="1" t="s">
        <v>4013</v>
      </c>
      <c r="F1890" s="1" t="str">
        <f>HYPERLINK("https://talan.bank.gov.ua/get-user-certificate/J5325iuaO_i7Nz4MEJF7","Завантажити сертифікат")</f>
        <v>Завантажити сертифікат</v>
      </c>
    </row>
    <row r="1891" spans="1:6" ht="28.8" x14ac:dyDescent="0.3">
      <c r="A1891" s="2">
        <v>1890</v>
      </c>
      <c r="B1891" s="1" t="s">
        <v>4014</v>
      </c>
      <c r="C1891" s="1" t="s">
        <v>3995</v>
      </c>
      <c r="D1891" s="1" t="s">
        <v>3996</v>
      </c>
      <c r="E1891" s="1" t="s">
        <v>4015</v>
      </c>
      <c r="F1891" s="1" t="str">
        <f>HYPERLINK("https://talan.bank.gov.ua/get-user-certificate/J5325xrRVApIzNOEfHCQ","Завантажити сертифікат")</f>
        <v>Завантажити сертифікат</v>
      </c>
    </row>
    <row r="1892" spans="1:6" ht="28.8" x14ac:dyDescent="0.3">
      <c r="A1892" s="2">
        <v>1891</v>
      </c>
      <c r="B1892" s="1" t="s">
        <v>4016</v>
      </c>
      <c r="C1892" s="1" t="s">
        <v>3995</v>
      </c>
      <c r="D1892" s="1" t="s">
        <v>3996</v>
      </c>
      <c r="E1892" s="1" t="s">
        <v>4017</v>
      </c>
      <c r="F1892" s="1" t="str">
        <f>HYPERLINK("https://talan.bank.gov.ua/get-user-certificate/J5325UzBI5U7RZG3xpmE","Завантажити сертифікат")</f>
        <v>Завантажити сертифікат</v>
      </c>
    </row>
    <row r="1893" spans="1:6" ht="28.8" x14ac:dyDescent="0.3">
      <c r="A1893" s="2">
        <v>1892</v>
      </c>
      <c r="B1893" s="1" t="s">
        <v>4018</v>
      </c>
      <c r="C1893" s="1" t="s">
        <v>3995</v>
      </c>
      <c r="D1893" s="1" t="s">
        <v>3996</v>
      </c>
      <c r="E1893" s="1" t="s">
        <v>4019</v>
      </c>
      <c r="F1893" s="1" t="str">
        <f>HYPERLINK("https://talan.bank.gov.ua/get-user-certificate/J5325mh9VFXZkzqyRmn4","Завантажити сертифікат")</f>
        <v>Завантажити сертифікат</v>
      </c>
    </row>
    <row r="1894" spans="1:6" ht="28.8" x14ac:dyDescent="0.3">
      <c r="A1894" s="2">
        <v>1893</v>
      </c>
      <c r="B1894" s="1" t="s">
        <v>4020</v>
      </c>
      <c r="C1894" s="1" t="s">
        <v>3995</v>
      </c>
      <c r="D1894" s="1" t="s">
        <v>3996</v>
      </c>
      <c r="E1894" s="1" t="s">
        <v>4021</v>
      </c>
      <c r="F1894" s="1" t="str">
        <f>HYPERLINK("https://talan.bank.gov.ua/get-user-certificate/J5325ZBN4WC0eg1tcFz4","Завантажити сертифікат")</f>
        <v>Завантажити сертифікат</v>
      </c>
    </row>
    <row r="1895" spans="1:6" ht="28.8" x14ac:dyDescent="0.3">
      <c r="A1895" s="2">
        <v>1894</v>
      </c>
      <c r="B1895" s="1" t="s">
        <v>4022</v>
      </c>
      <c r="C1895" s="1" t="s">
        <v>3995</v>
      </c>
      <c r="D1895" s="1" t="s">
        <v>3996</v>
      </c>
      <c r="E1895" s="1" t="s">
        <v>4023</v>
      </c>
      <c r="F1895" s="1" t="str">
        <f>HYPERLINK("https://talan.bank.gov.ua/get-user-certificate/J5325PxabXqnBN1oqju1","Завантажити сертифікат")</f>
        <v>Завантажити сертифікат</v>
      </c>
    </row>
    <row r="1896" spans="1:6" ht="28.8" x14ac:dyDescent="0.3">
      <c r="A1896" s="2">
        <v>1895</v>
      </c>
      <c r="B1896" s="1" t="s">
        <v>4024</v>
      </c>
      <c r="C1896" s="1" t="s">
        <v>3995</v>
      </c>
      <c r="D1896" s="1" t="s">
        <v>3996</v>
      </c>
      <c r="E1896" s="1" t="s">
        <v>4025</v>
      </c>
      <c r="F1896" s="1" t="str">
        <f>HYPERLINK("https://talan.bank.gov.ua/get-user-certificate/J5325sKmr1FU1mn0ZzMC","Завантажити сертифікат")</f>
        <v>Завантажити сертифікат</v>
      </c>
    </row>
    <row r="1897" spans="1:6" ht="28.8" x14ac:dyDescent="0.3">
      <c r="A1897" s="2">
        <v>1896</v>
      </c>
      <c r="B1897" s="1" t="s">
        <v>4026</v>
      </c>
      <c r="C1897" s="1" t="s">
        <v>3995</v>
      </c>
      <c r="D1897" s="1" t="s">
        <v>3996</v>
      </c>
      <c r="E1897" s="1" t="s">
        <v>4027</v>
      </c>
      <c r="F1897" s="1" t="str">
        <f>HYPERLINK("https://talan.bank.gov.ua/get-user-certificate/J5325fWcQVBjegB58A8u","Завантажити сертифікат")</f>
        <v>Завантажити сертифікат</v>
      </c>
    </row>
    <row r="1898" spans="1:6" ht="28.8" x14ac:dyDescent="0.3">
      <c r="A1898" s="2">
        <v>1897</v>
      </c>
      <c r="B1898" s="1" t="s">
        <v>4028</v>
      </c>
      <c r="C1898" s="1" t="s">
        <v>3995</v>
      </c>
      <c r="D1898" s="1" t="s">
        <v>3996</v>
      </c>
      <c r="E1898" s="1" t="s">
        <v>4029</v>
      </c>
      <c r="F1898" s="1" t="str">
        <f>HYPERLINK("https://talan.bank.gov.ua/get-user-certificate/J5325g2Llbpqq-ATFrSv","Завантажити сертифікат")</f>
        <v>Завантажити сертифікат</v>
      </c>
    </row>
    <row r="1899" spans="1:6" ht="28.8" x14ac:dyDescent="0.3">
      <c r="A1899" s="2">
        <v>1898</v>
      </c>
      <c r="B1899" s="1" t="s">
        <v>4030</v>
      </c>
      <c r="C1899" s="1" t="s">
        <v>3995</v>
      </c>
      <c r="D1899" s="1" t="s">
        <v>3996</v>
      </c>
      <c r="E1899" s="1" t="s">
        <v>4031</v>
      </c>
      <c r="F1899" s="1" t="str">
        <f>HYPERLINK("https://talan.bank.gov.ua/get-user-certificate/J5325l5DjbI5WuEjrjdn","Завантажити сертифікат")</f>
        <v>Завантажити сертифікат</v>
      </c>
    </row>
    <row r="1900" spans="1:6" ht="28.8" x14ac:dyDescent="0.3">
      <c r="A1900" s="2">
        <v>1899</v>
      </c>
      <c r="B1900" s="1" t="s">
        <v>4032</v>
      </c>
      <c r="C1900" s="1" t="s">
        <v>3995</v>
      </c>
      <c r="D1900" s="1" t="s">
        <v>3996</v>
      </c>
      <c r="E1900" s="1" t="s">
        <v>4033</v>
      </c>
      <c r="F1900" s="1" t="str">
        <f>HYPERLINK("https://talan.bank.gov.ua/get-user-certificate/J5325D49aup9CcN3YGDJ","Завантажити сертифікат")</f>
        <v>Завантажити сертифікат</v>
      </c>
    </row>
    <row r="1901" spans="1:6" ht="28.8" x14ac:dyDescent="0.3">
      <c r="A1901" s="2">
        <v>1900</v>
      </c>
      <c r="B1901" s="1" t="s">
        <v>4034</v>
      </c>
      <c r="C1901" s="1" t="s">
        <v>3995</v>
      </c>
      <c r="D1901" s="1" t="s">
        <v>3996</v>
      </c>
      <c r="E1901" s="1" t="s">
        <v>4035</v>
      </c>
      <c r="F1901" s="1" t="str">
        <f>HYPERLINK("https://talan.bank.gov.ua/get-user-certificate/J5325xvQe6cPtroCtyhb","Завантажити сертифікат")</f>
        <v>Завантажити сертифікат</v>
      </c>
    </row>
    <row r="1902" spans="1:6" ht="28.8" x14ac:dyDescent="0.3">
      <c r="A1902" s="2">
        <v>1901</v>
      </c>
      <c r="B1902" s="1" t="s">
        <v>4036</v>
      </c>
      <c r="C1902" s="1" t="s">
        <v>3995</v>
      </c>
      <c r="D1902" s="1" t="s">
        <v>3996</v>
      </c>
      <c r="E1902" s="1" t="s">
        <v>4037</v>
      </c>
      <c r="F1902" s="1" t="str">
        <f>HYPERLINK("https://talan.bank.gov.ua/get-user-certificate/J5325OcWpRLZX2cAaQoq","Завантажити сертифікат")</f>
        <v>Завантажити сертифікат</v>
      </c>
    </row>
    <row r="1903" spans="1:6" ht="28.8" x14ac:dyDescent="0.3">
      <c r="A1903" s="2">
        <v>1902</v>
      </c>
      <c r="B1903" s="1" t="s">
        <v>4038</v>
      </c>
      <c r="C1903" s="1" t="s">
        <v>3995</v>
      </c>
      <c r="D1903" s="1" t="s">
        <v>3996</v>
      </c>
      <c r="E1903" s="1" t="s">
        <v>4039</v>
      </c>
      <c r="F1903" s="1" t="str">
        <f>HYPERLINK("https://talan.bank.gov.ua/get-user-certificate/J5325oVsaIAZES5ppoHj","Завантажити сертифікат")</f>
        <v>Завантажити сертифікат</v>
      </c>
    </row>
    <row r="1904" spans="1:6" ht="28.8" x14ac:dyDescent="0.3">
      <c r="A1904" s="2">
        <v>1903</v>
      </c>
      <c r="B1904" s="1" t="s">
        <v>4040</v>
      </c>
      <c r="C1904" s="1" t="s">
        <v>3995</v>
      </c>
      <c r="D1904" s="1" t="s">
        <v>3996</v>
      </c>
      <c r="E1904" s="1" t="s">
        <v>4041</v>
      </c>
      <c r="F1904" s="1" t="str">
        <f>HYPERLINK("https://talan.bank.gov.ua/get-user-certificate/J5325LnV4hfEC6_VxlSt","Завантажити сертифікат")</f>
        <v>Завантажити сертифікат</v>
      </c>
    </row>
    <row r="1905" spans="1:6" ht="28.8" x14ac:dyDescent="0.3">
      <c r="A1905" s="2">
        <v>1904</v>
      </c>
      <c r="B1905" s="1" t="s">
        <v>4042</v>
      </c>
      <c r="C1905" s="1" t="s">
        <v>3995</v>
      </c>
      <c r="D1905" s="1" t="s">
        <v>3996</v>
      </c>
      <c r="E1905" s="1" t="s">
        <v>4043</v>
      </c>
      <c r="F1905" s="1" t="str">
        <f>HYPERLINK("https://talan.bank.gov.ua/get-user-certificate/J5325m5ztrYGYO7OKWbL","Завантажити сертифікат")</f>
        <v>Завантажити сертифікат</v>
      </c>
    </row>
    <row r="1906" spans="1:6" ht="28.8" x14ac:dyDescent="0.3">
      <c r="A1906" s="2">
        <v>1905</v>
      </c>
      <c r="B1906" s="1" t="s">
        <v>4044</v>
      </c>
      <c r="C1906" s="1" t="s">
        <v>3995</v>
      </c>
      <c r="D1906" s="1" t="s">
        <v>3996</v>
      </c>
      <c r="E1906" s="1" t="s">
        <v>4045</v>
      </c>
      <c r="F1906" s="1" t="str">
        <f>HYPERLINK("https://talan.bank.gov.ua/get-user-certificate/J5325oQGvm8ju6anRLoN","Завантажити сертифікат")</f>
        <v>Завантажити сертифікат</v>
      </c>
    </row>
    <row r="1907" spans="1:6" ht="28.8" x14ac:dyDescent="0.3">
      <c r="A1907" s="2">
        <v>1906</v>
      </c>
      <c r="B1907" s="1" t="s">
        <v>4046</v>
      </c>
      <c r="C1907" s="1" t="s">
        <v>3995</v>
      </c>
      <c r="D1907" s="1" t="s">
        <v>3996</v>
      </c>
      <c r="E1907" s="1" t="s">
        <v>4047</v>
      </c>
      <c r="F1907" s="1" t="str">
        <f>HYPERLINK("https://talan.bank.gov.ua/get-user-certificate/J5325DBsxiaPkickKwiC","Завантажити сертифікат")</f>
        <v>Завантажити сертифікат</v>
      </c>
    </row>
    <row r="1908" spans="1:6" ht="28.8" x14ac:dyDescent="0.3">
      <c r="A1908" s="2">
        <v>1907</v>
      </c>
      <c r="B1908" s="1" t="s">
        <v>4048</v>
      </c>
      <c r="C1908" s="1" t="s">
        <v>3995</v>
      </c>
      <c r="D1908" s="1" t="s">
        <v>3996</v>
      </c>
      <c r="E1908" s="1" t="s">
        <v>4049</v>
      </c>
      <c r="F1908" s="1" t="str">
        <f>HYPERLINK("https://talan.bank.gov.ua/get-user-certificate/J5325qUKZeQhqFL6If6_","Завантажити сертифікат")</f>
        <v>Завантажити сертифікат</v>
      </c>
    </row>
    <row r="1909" spans="1:6" ht="28.8" x14ac:dyDescent="0.3">
      <c r="A1909" s="2">
        <v>1908</v>
      </c>
      <c r="B1909" s="1" t="s">
        <v>4050</v>
      </c>
      <c r="C1909" s="1" t="s">
        <v>3995</v>
      </c>
      <c r="D1909" s="1" t="s">
        <v>3996</v>
      </c>
      <c r="E1909" s="1" t="s">
        <v>4051</v>
      </c>
      <c r="F1909" s="1" t="str">
        <f>HYPERLINK("https://talan.bank.gov.ua/get-user-certificate/J5325OshXFg7yywPtWDS","Завантажити сертифікат")</f>
        <v>Завантажити сертифікат</v>
      </c>
    </row>
    <row r="1910" spans="1:6" ht="28.8" x14ac:dyDescent="0.3">
      <c r="A1910" s="2">
        <v>1909</v>
      </c>
      <c r="B1910" s="1" t="s">
        <v>4052</v>
      </c>
      <c r="C1910" s="1" t="s">
        <v>3995</v>
      </c>
      <c r="D1910" s="1" t="s">
        <v>3996</v>
      </c>
      <c r="E1910" s="1" t="s">
        <v>4053</v>
      </c>
      <c r="F1910" s="1" t="str">
        <f>HYPERLINK("https://talan.bank.gov.ua/get-user-certificate/J5325QUGN90eN3W6CxXE","Завантажити сертифікат")</f>
        <v>Завантажити сертифікат</v>
      </c>
    </row>
    <row r="1911" spans="1:6" ht="28.8" x14ac:dyDescent="0.3">
      <c r="A1911" s="2">
        <v>1910</v>
      </c>
      <c r="B1911" s="1" t="s">
        <v>4054</v>
      </c>
      <c r="C1911" s="1" t="s">
        <v>3995</v>
      </c>
      <c r="D1911" s="1" t="s">
        <v>3996</v>
      </c>
      <c r="E1911" s="1" t="s">
        <v>4055</v>
      </c>
      <c r="F1911" s="1" t="str">
        <f>HYPERLINK("https://talan.bank.gov.ua/get-user-certificate/J5325GyxBlXiBPm7q54E","Завантажити сертифікат")</f>
        <v>Завантажити сертифікат</v>
      </c>
    </row>
    <row r="1912" spans="1:6" ht="28.8" x14ac:dyDescent="0.3">
      <c r="A1912" s="2">
        <v>1911</v>
      </c>
      <c r="B1912" s="1" t="s">
        <v>4056</v>
      </c>
      <c r="C1912" s="1" t="s">
        <v>3995</v>
      </c>
      <c r="D1912" s="1" t="s">
        <v>3996</v>
      </c>
      <c r="E1912" s="1" t="s">
        <v>4057</v>
      </c>
      <c r="F1912" s="1" t="str">
        <f>HYPERLINK("https://talan.bank.gov.ua/get-user-certificate/J5325dpH9wE4RB3IY6G0","Завантажити сертифікат")</f>
        <v>Завантажити сертифікат</v>
      </c>
    </row>
    <row r="1913" spans="1:6" ht="28.8" x14ac:dyDescent="0.3">
      <c r="A1913" s="2">
        <v>1912</v>
      </c>
      <c r="B1913" s="1" t="s">
        <v>4058</v>
      </c>
      <c r="C1913" s="1" t="s">
        <v>3995</v>
      </c>
      <c r="D1913" s="1" t="s">
        <v>3996</v>
      </c>
      <c r="E1913" s="1" t="s">
        <v>4059</v>
      </c>
      <c r="F1913" s="1" t="str">
        <f>HYPERLINK("https://talan.bank.gov.ua/get-user-certificate/J5325Ou07rz6xOpDmTNV","Завантажити сертифікат")</f>
        <v>Завантажити сертифікат</v>
      </c>
    </row>
    <row r="1914" spans="1:6" ht="28.8" x14ac:dyDescent="0.3">
      <c r="A1914" s="2">
        <v>1913</v>
      </c>
      <c r="B1914" s="1" t="s">
        <v>4060</v>
      </c>
      <c r="C1914" s="1" t="s">
        <v>3995</v>
      </c>
      <c r="D1914" s="1" t="s">
        <v>3996</v>
      </c>
      <c r="E1914" s="1" t="s">
        <v>4061</v>
      </c>
      <c r="F1914" s="1" t="str">
        <f>HYPERLINK("https://talan.bank.gov.ua/get-user-certificate/J5325i0j1N_6WVgemF9z","Завантажити сертифікат")</f>
        <v>Завантажити сертифікат</v>
      </c>
    </row>
    <row r="1915" spans="1:6" ht="28.8" x14ac:dyDescent="0.3">
      <c r="A1915" s="2">
        <v>1914</v>
      </c>
      <c r="B1915" s="1" t="s">
        <v>4062</v>
      </c>
      <c r="C1915" s="1" t="s">
        <v>3995</v>
      </c>
      <c r="D1915" s="1" t="s">
        <v>3996</v>
      </c>
      <c r="E1915" s="1" t="s">
        <v>4063</v>
      </c>
      <c r="F1915" s="1" t="str">
        <f>HYPERLINK("https://talan.bank.gov.ua/get-user-certificate/J5325_oJgbkeF3hj1ME2","Завантажити сертифікат")</f>
        <v>Завантажити сертифікат</v>
      </c>
    </row>
    <row r="1916" spans="1:6" ht="28.8" x14ac:dyDescent="0.3">
      <c r="A1916" s="2">
        <v>1915</v>
      </c>
      <c r="B1916" s="1" t="s">
        <v>4064</v>
      </c>
      <c r="C1916" s="1" t="s">
        <v>3995</v>
      </c>
      <c r="D1916" s="1" t="s">
        <v>3996</v>
      </c>
      <c r="E1916" s="1" t="s">
        <v>4065</v>
      </c>
      <c r="F1916" s="1" t="str">
        <f>HYPERLINK("https://talan.bank.gov.ua/get-user-certificate/J53252uAz5PSzvs9VnbZ","Завантажити сертифікат")</f>
        <v>Завантажити сертифікат</v>
      </c>
    </row>
    <row r="1917" spans="1:6" ht="28.8" x14ac:dyDescent="0.3">
      <c r="A1917" s="2">
        <v>1916</v>
      </c>
      <c r="B1917" s="1" t="s">
        <v>4066</v>
      </c>
      <c r="C1917" s="1" t="s">
        <v>3995</v>
      </c>
      <c r="D1917" s="1" t="s">
        <v>3996</v>
      </c>
      <c r="E1917" s="1" t="s">
        <v>4067</v>
      </c>
      <c r="F1917" s="1" t="str">
        <f>HYPERLINK("https://talan.bank.gov.ua/get-user-certificate/J5325p81rupcpiy7cpIp","Завантажити сертифікат")</f>
        <v>Завантажити сертифікат</v>
      </c>
    </row>
    <row r="1918" spans="1:6" ht="28.8" x14ac:dyDescent="0.3">
      <c r="A1918" s="2">
        <v>1917</v>
      </c>
      <c r="B1918" s="1" t="s">
        <v>4068</v>
      </c>
      <c r="C1918" s="1" t="s">
        <v>3995</v>
      </c>
      <c r="D1918" s="1" t="s">
        <v>3996</v>
      </c>
      <c r="E1918" s="1" t="s">
        <v>4069</v>
      </c>
      <c r="F1918" s="1" t="str">
        <f>HYPERLINK("https://talan.bank.gov.ua/get-user-certificate/J5325l5MGGkKl_EfvNhB","Завантажити сертифікат")</f>
        <v>Завантажити сертифікат</v>
      </c>
    </row>
    <row r="1919" spans="1:6" ht="28.8" x14ac:dyDescent="0.3">
      <c r="A1919" s="2">
        <v>1918</v>
      </c>
      <c r="B1919" s="1" t="s">
        <v>4070</v>
      </c>
      <c r="C1919" s="1" t="s">
        <v>3995</v>
      </c>
      <c r="D1919" s="1" t="s">
        <v>3996</v>
      </c>
      <c r="E1919" s="1" t="s">
        <v>4071</v>
      </c>
      <c r="F1919" s="1" t="str">
        <f>HYPERLINK("https://talan.bank.gov.ua/get-user-certificate/J5325QMI86lD4fUFoDdr","Завантажити сертифікат")</f>
        <v>Завантажити сертифікат</v>
      </c>
    </row>
    <row r="1920" spans="1:6" ht="28.8" x14ac:dyDescent="0.3">
      <c r="A1920" s="2">
        <v>1919</v>
      </c>
      <c r="B1920" s="1" t="s">
        <v>4072</v>
      </c>
      <c r="C1920" s="1" t="s">
        <v>3995</v>
      </c>
      <c r="D1920" s="1" t="s">
        <v>3996</v>
      </c>
      <c r="E1920" s="1" t="s">
        <v>4073</v>
      </c>
      <c r="F1920" s="1" t="str">
        <f>HYPERLINK("https://talan.bank.gov.ua/get-user-certificate/J5325xzftQHWXtlqpuAH","Завантажити сертифікат")</f>
        <v>Завантажити сертифікат</v>
      </c>
    </row>
    <row r="1921" spans="1:6" ht="28.8" x14ac:dyDescent="0.3">
      <c r="A1921" s="2">
        <v>1920</v>
      </c>
      <c r="B1921" s="1" t="s">
        <v>4074</v>
      </c>
      <c r="C1921" s="1" t="s">
        <v>3995</v>
      </c>
      <c r="D1921" s="1" t="s">
        <v>3996</v>
      </c>
      <c r="E1921" s="1" t="s">
        <v>4075</v>
      </c>
      <c r="F1921" s="1" t="str">
        <f>HYPERLINK("https://talan.bank.gov.ua/get-user-certificate/J5325JV8ncMbkDlBRK7d","Завантажити сертифікат")</f>
        <v>Завантажити сертифікат</v>
      </c>
    </row>
    <row r="1922" spans="1:6" ht="28.8" x14ac:dyDescent="0.3">
      <c r="A1922" s="2">
        <v>1921</v>
      </c>
      <c r="B1922" s="1" t="s">
        <v>4076</v>
      </c>
      <c r="C1922" s="1" t="s">
        <v>3995</v>
      </c>
      <c r="D1922" s="1" t="s">
        <v>3996</v>
      </c>
      <c r="E1922" s="1" t="s">
        <v>4077</v>
      </c>
      <c r="F1922" s="1" t="str">
        <f>HYPERLINK("https://talan.bank.gov.ua/get-user-certificate/J5325986z6nlLjSMXaXk","Завантажити сертифікат")</f>
        <v>Завантажити сертифікат</v>
      </c>
    </row>
    <row r="1923" spans="1:6" ht="28.8" x14ac:dyDescent="0.3">
      <c r="A1923" s="2">
        <v>1922</v>
      </c>
      <c r="B1923" s="1" t="s">
        <v>4078</v>
      </c>
      <c r="C1923" s="1" t="s">
        <v>4079</v>
      </c>
      <c r="D1923" s="1" t="s">
        <v>4080</v>
      </c>
      <c r="E1923" s="1" t="s">
        <v>4081</v>
      </c>
      <c r="F1923" s="1" t="str">
        <f>HYPERLINK("https://talan.bank.gov.ua/get-user-certificate/J5325VV9URsPyd4g2-Qo","Завантажити сертифікат")</f>
        <v>Завантажити сертифікат</v>
      </c>
    </row>
    <row r="1924" spans="1:6" ht="28.8" x14ac:dyDescent="0.3">
      <c r="A1924" s="2">
        <v>1923</v>
      </c>
      <c r="B1924" s="1" t="s">
        <v>4082</v>
      </c>
      <c r="C1924" s="1" t="s">
        <v>4079</v>
      </c>
      <c r="D1924" s="1" t="s">
        <v>4080</v>
      </c>
      <c r="E1924" s="1" t="s">
        <v>4083</v>
      </c>
      <c r="F1924" s="1" t="str">
        <f>HYPERLINK("https://talan.bank.gov.ua/get-user-certificate/J5325_0J5c0PlC_EQQFL","Завантажити сертифікат")</f>
        <v>Завантажити сертифікат</v>
      </c>
    </row>
    <row r="1925" spans="1:6" ht="28.8" x14ac:dyDescent="0.3">
      <c r="A1925" s="2">
        <v>1924</v>
      </c>
      <c r="B1925" s="1" t="s">
        <v>4084</v>
      </c>
      <c r="C1925" s="1" t="s">
        <v>4079</v>
      </c>
      <c r="D1925" s="1" t="s">
        <v>4080</v>
      </c>
      <c r="E1925" s="1" t="s">
        <v>4085</v>
      </c>
      <c r="F1925" s="1" t="str">
        <f>HYPERLINK("https://talan.bank.gov.ua/get-user-certificate/J5325139xUUDCvJZNL0P","Завантажити сертифікат")</f>
        <v>Завантажити сертифікат</v>
      </c>
    </row>
    <row r="1926" spans="1:6" ht="28.8" x14ac:dyDescent="0.3">
      <c r="A1926" s="2">
        <v>1925</v>
      </c>
      <c r="B1926" s="1" t="s">
        <v>4086</v>
      </c>
      <c r="C1926" s="1" t="s">
        <v>4079</v>
      </c>
      <c r="D1926" s="1" t="s">
        <v>4080</v>
      </c>
      <c r="E1926" s="1" t="s">
        <v>4087</v>
      </c>
      <c r="F1926" s="1" t="str">
        <f>HYPERLINK("https://talan.bank.gov.ua/get-user-certificate/J5325ULkNcwumCwyXGAf","Завантажити сертифікат")</f>
        <v>Завантажити сертифікат</v>
      </c>
    </row>
    <row r="1927" spans="1:6" ht="28.8" x14ac:dyDescent="0.3">
      <c r="A1927" s="2">
        <v>1926</v>
      </c>
      <c r="B1927" s="1" t="s">
        <v>4088</v>
      </c>
      <c r="C1927" s="1" t="s">
        <v>4079</v>
      </c>
      <c r="D1927" s="1" t="s">
        <v>4080</v>
      </c>
      <c r="E1927" s="1" t="s">
        <v>4089</v>
      </c>
      <c r="F1927" s="1" t="str">
        <f>HYPERLINK("https://talan.bank.gov.ua/get-user-certificate/J5325NAjZe7KelssRXAj","Завантажити сертифікат")</f>
        <v>Завантажити сертифікат</v>
      </c>
    </row>
    <row r="1928" spans="1:6" ht="28.8" x14ac:dyDescent="0.3">
      <c r="A1928" s="2">
        <v>1927</v>
      </c>
      <c r="B1928" s="1" t="s">
        <v>4090</v>
      </c>
      <c r="C1928" s="1" t="s">
        <v>4079</v>
      </c>
      <c r="D1928" s="1" t="s">
        <v>4080</v>
      </c>
      <c r="E1928" s="1" t="s">
        <v>4091</v>
      </c>
      <c r="F1928" s="1" t="str">
        <f>HYPERLINK("https://talan.bank.gov.ua/get-user-certificate/J5325yLOBY1Xnl2UDFwK","Завантажити сертифікат")</f>
        <v>Завантажити сертифікат</v>
      </c>
    </row>
    <row r="1929" spans="1:6" ht="28.8" x14ac:dyDescent="0.3">
      <c r="A1929" s="2">
        <v>1928</v>
      </c>
      <c r="B1929" s="1" t="s">
        <v>4092</v>
      </c>
      <c r="C1929" s="1" t="s">
        <v>4079</v>
      </c>
      <c r="D1929" s="1" t="s">
        <v>4080</v>
      </c>
      <c r="E1929" s="1" t="s">
        <v>4093</v>
      </c>
      <c r="F1929" s="1" t="str">
        <f>HYPERLINK("https://talan.bank.gov.ua/get-user-certificate/J5325GZWZONt99dvxwS2","Завантажити сертифікат")</f>
        <v>Завантажити сертифікат</v>
      </c>
    </row>
    <row r="1930" spans="1:6" ht="28.8" x14ac:dyDescent="0.3">
      <c r="A1930" s="2">
        <v>1929</v>
      </c>
      <c r="B1930" s="1" t="s">
        <v>4094</v>
      </c>
      <c r="C1930" s="1" t="s">
        <v>4079</v>
      </c>
      <c r="D1930" s="1" t="s">
        <v>4080</v>
      </c>
      <c r="E1930" s="1" t="s">
        <v>4095</v>
      </c>
      <c r="F1930" s="1" t="str">
        <f>HYPERLINK("https://talan.bank.gov.ua/get-user-certificate/J5325p3q9vfk2dOh8elJ","Завантажити сертифікат")</f>
        <v>Завантажити сертифікат</v>
      </c>
    </row>
    <row r="1931" spans="1:6" ht="28.8" x14ac:dyDescent="0.3">
      <c r="A1931" s="2">
        <v>1930</v>
      </c>
      <c r="B1931" s="1" t="s">
        <v>4096</v>
      </c>
      <c r="C1931" s="1" t="s">
        <v>4097</v>
      </c>
      <c r="D1931" s="1" t="s">
        <v>4098</v>
      </c>
      <c r="E1931" s="1" t="s">
        <v>4099</v>
      </c>
      <c r="F1931" s="1" t="str">
        <f>HYPERLINK("https://talan.bank.gov.ua/get-user-certificate/J5325WgBV8TNVBYRjYno","Завантажити сертифікат")</f>
        <v>Завантажити сертифікат</v>
      </c>
    </row>
    <row r="1932" spans="1:6" ht="28.8" x14ac:dyDescent="0.3">
      <c r="A1932" s="2">
        <v>1931</v>
      </c>
      <c r="B1932" s="1" t="s">
        <v>4100</v>
      </c>
      <c r="C1932" s="1" t="s">
        <v>4097</v>
      </c>
      <c r="D1932" s="1" t="s">
        <v>4098</v>
      </c>
      <c r="E1932" s="1" t="s">
        <v>4101</v>
      </c>
      <c r="F1932" s="1" t="str">
        <f>HYPERLINK("https://talan.bank.gov.ua/get-user-certificate/J5325DU8Hst9qwLeQv60","Завантажити сертифікат")</f>
        <v>Завантажити сертифікат</v>
      </c>
    </row>
    <row r="1933" spans="1:6" ht="28.8" x14ac:dyDescent="0.3">
      <c r="A1933" s="2">
        <v>1932</v>
      </c>
      <c r="B1933" s="1" t="s">
        <v>4102</v>
      </c>
      <c r="C1933" s="1" t="s">
        <v>4097</v>
      </c>
      <c r="D1933" s="1" t="s">
        <v>4098</v>
      </c>
      <c r="E1933" s="1" t="s">
        <v>4103</v>
      </c>
      <c r="F1933" s="1" t="str">
        <f>HYPERLINK("https://talan.bank.gov.ua/get-user-certificate/J5325ZRbCHyWtBGdUqAM","Завантажити сертифікат")</f>
        <v>Завантажити сертифікат</v>
      </c>
    </row>
    <row r="1934" spans="1:6" ht="28.8" x14ac:dyDescent="0.3">
      <c r="A1934" s="2">
        <v>1933</v>
      </c>
      <c r="B1934" s="1" t="s">
        <v>4104</v>
      </c>
      <c r="C1934" s="1" t="s">
        <v>4097</v>
      </c>
      <c r="D1934" s="1" t="s">
        <v>4098</v>
      </c>
      <c r="E1934" s="1" t="s">
        <v>4105</v>
      </c>
      <c r="F1934" s="1" t="str">
        <f>HYPERLINK("https://talan.bank.gov.ua/get-user-certificate/J5325zOCpO5QJAxVc_hF","Завантажити сертифікат")</f>
        <v>Завантажити сертифікат</v>
      </c>
    </row>
    <row r="1935" spans="1:6" ht="28.8" x14ac:dyDescent="0.3">
      <c r="A1935" s="2">
        <v>1934</v>
      </c>
      <c r="B1935" s="1" t="s">
        <v>4106</v>
      </c>
      <c r="C1935" s="1" t="s">
        <v>4097</v>
      </c>
      <c r="D1935" s="1" t="s">
        <v>4098</v>
      </c>
      <c r="E1935" s="1" t="s">
        <v>4107</v>
      </c>
      <c r="F1935" s="1" t="str">
        <f>HYPERLINK("https://talan.bank.gov.ua/get-user-certificate/J53257jp6DITDCtbtsEp","Завантажити сертифікат")</f>
        <v>Завантажити сертифікат</v>
      </c>
    </row>
    <row r="1936" spans="1:6" ht="28.8" x14ac:dyDescent="0.3">
      <c r="A1936" s="2">
        <v>1935</v>
      </c>
      <c r="B1936" s="1" t="s">
        <v>4108</v>
      </c>
      <c r="C1936" s="1" t="s">
        <v>4097</v>
      </c>
      <c r="D1936" s="1" t="s">
        <v>4098</v>
      </c>
      <c r="E1936" s="1" t="s">
        <v>4109</v>
      </c>
      <c r="F1936" s="1" t="str">
        <f>HYPERLINK("https://talan.bank.gov.ua/get-user-certificate/J53250KuyNDFyyfKyiFt","Завантажити сертифікат")</f>
        <v>Завантажити сертифікат</v>
      </c>
    </row>
    <row r="1937" spans="1:6" ht="28.8" x14ac:dyDescent="0.3">
      <c r="A1937" s="2">
        <v>1936</v>
      </c>
      <c r="B1937" s="1" t="s">
        <v>4110</v>
      </c>
      <c r="C1937" s="1" t="s">
        <v>4097</v>
      </c>
      <c r="D1937" s="1" t="s">
        <v>4098</v>
      </c>
      <c r="E1937" s="1" t="s">
        <v>4111</v>
      </c>
      <c r="F1937" s="1" t="str">
        <f>HYPERLINK("https://talan.bank.gov.ua/get-user-certificate/J5325Z-7sWTKfVFfejiE","Завантажити сертифікат")</f>
        <v>Завантажити сертифікат</v>
      </c>
    </row>
    <row r="1938" spans="1:6" ht="28.8" x14ac:dyDescent="0.3">
      <c r="A1938" s="2">
        <v>1937</v>
      </c>
      <c r="B1938" s="1" t="s">
        <v>4112</v>
      </c>
      <c r="C1938" s="1" t="s">
        <v>4097</v>
      </c>
      <c r="D1938" s="1" t="s">
        <v>4098</v>
      </c>
      <c r="E1938" s="1" t="s">
        <v>4113</v>
      </c>
      <c r="F1938" s="1" t="str">
        <f>HYPERLINK("https://talan.bank.gov.ua/get-user-certificate/J5325IYnE9xgtwpbW1Qc","Завантажити сертифікат")</f>
        <v>Завантажити сертифікат</v>
      </c>
    </row>
    <row r="1939" spans="1:6" ht="28.8" x14ac:dyDescent="0.3">
      <c r="A1939" s="2">
        <v>1938</v>
      </c>
      <c r="B1939" s="1" t="s">
        <v>4114</v>
      </c>
      <c r="C1939" s="1" t="s">
        <v>4097</v>
      </c>
      <c r="D1939" s="1" t="s">
        <v>4098</v>
      </c>
      <c r="E1939" s="1" t="s">
        <v>4115</v>
      </c>
      <c r="F1939" s="1" t="str">
        <f>HYPERLINK("https://talan.bank.gov.ua/get-user-certificate/J532501WJqGRC7ujPG7G","Завантажити сертифікат")</f>
        <v>Завантажити сертифікат</v>
      </c>
    </row>
    <row r="1940" spans="1:6" x14ac:dyDescent="0.3">
      <c r="A1940" s="2">
        <v>1939</v>
      </c>
      <c r="B1940" s="1" t="s">
        <v>4116</v>
      </c>
      <c r="C1940" s="1" t="s">
        <v>4117</v>
      </c>
      <c r="D1940" s="1" t="s">
        <v>4118</v>
      </c>
      <c r="E1940" s="1" t="s">
        <v>4119</v>
      </c>
      <c r="F1940" s="1" t="str">
        <f>HYPERLINK("https://talan.bank.gov.ua/get-user-certificate/J5325Jk5LQerVHaRsQV7","Завантажити сертифікат")</f>
        <v>Завантажити сертифікат</v>
      </c>
    </row>
    <row r="1941" spans="1:6" x14ac:dyDescent="0.3">
      <c r="A1941" s="2">
        <v>1940</v>
      </c>
      <c r="B1941" s="1" t="s">
        <v>4120</v>
      </c>
      <c r="C1941" s="1" t="s">
        <v>4117</v>
      </c>
      <c r="D1941" s="1" t="s">
        <v>4118</v>
      </c>
      <c r="E1941" s="1" t="s">
        <v>4121</v>
      </c>
      <c r="F1941" s="1" t="str">
        <f>HYPERLINK("https://talan.bank.gov.ua/get-user-certificate/J5325Q2CDLtARWu70LuA","Завантажити сертифікат")</f>
        <v>Завантажити сертифікат</v>
      </c>
    </row>
    <row r="1942" spans="1:6" x14ac:dyDescent="0.3">
      <c r="A1942" s="2">
        <v>1941</v>
      </c>
      <c r="B1942" s="1" t="s">
        <v>4122</v>
      </c>
      <c r="C1942" s="1" t="s">
        <v>4117</v>
      </c>
      <c r="D1942" s="1" t="s">
        <v>4118</v>
      </c>
      <c r="E1942" s="1" t="s">
        <v>4123</v>
      </c>
      <c r="F1942" s="1" t="str">
        <f>HYPERLINK("https://talan.bank.gov.ua/get-user-certificate/J53250qH1NaBYTV534FC","Завантажити сертифікат")</f>
        <v>Завантажити сертифікат</v>
      </c>
    </row>
    <row r="1943" spans="1:6" x14ac:dyDescent="0.3">
      <c r="A1943" s="2">
        <v>1942</v>
      </c>
      <c r="B1943" s="1" t="s">
        <v>4124</v>
      </c>
      <c r="C1943" s="1" t="s">
        <v>4117</v>
      </c>
      <c r="D1943" s="1" t="s">
        <v>4118</v>
      </c>
      <c r="E1943" s="1" t="s">
        <v>4125</v>
      </c>
      <c r="F1943" s="1" t="str">
        <f>HYPERLINK("https://talan.bank.gov.ua/get-user-certificate/J5325iyxkp9YmzfWM0Xt","Завантажити сертифікат")</f>
        <v>Завантажити сертифікат</v>
      </c>
    </row>
    <row r="1944" spans="1:6" x14ac:dyDescent="0.3">
      <c r="A1944" s="2">
        <v>1943</v>
      </c>
      <c r="B1944" s="1" t="s">
        <v>4126</v>
      </c>
      <c r="C1944" s="1" t="s">
        <v>4117</v>
      </c>
      <c r="D1944" s="1" t="s">
        <v>4118</v>
      </c>
      <c r="E1944" s="1" t="s">
        <v>4127</v>
      </c>
      <c r="F1944" s="1" t="str">
        <f>HYPERLINK("https://talan.bank.gov.ua/get-user-certificate/J5325zB1zsb1LQ1R1cCE","Завантажити сертифікат")</f>
        <v>Завантажити сертифікат</v>
      </c>
    </row>
    <row r="1945" spans="1:6" x14ac:dyDescent="0.3">
      <c r="A1945" s="2">
        <v>1944</v>
      </c>
      <c r="B1945" s="1" t="s">
        <v>4128</v>
      </c>
      <c r="C1945" s="1" t="s">
        <v>4117</v>
      </c>
      <c r="D1945" s="1" t="s">
        <v>4118</v>
      </c>
      <c r="E1945" s="1" t="s">
        <v>4129</v>
      </c>
      <c r="F1945" s="1" t="str">
        <f>HYPERLINK("https://talan.bank.gov.ua/get-user-certificate/J5325Xu-U-ielCQiI0Xq","Завантажити сертифікат")</f>
        <v>Завантажити сертифікат</v>
      </c>
    </row>
    <row r="1946" spans="1:6" x14ac:dyDescent="0.3">
      <c r="A1946" s="2">
        <v>1945</v>
      </c>
      <c r="B1946" s="1" t="s">
        <v>4130</v>
      </c>
      <c r="C1946" s="1" t="s">
        <v>4117</v>
      </c>
      <c r="D1946" s="1" t="s">
        <v>4118</v>
      </c>
      <c r="E1946" s="1" t="s">
        <v>4131</v>
      </c>
      <c r="F1946" s="1" t="str">
        <f>HYPERLINK("https://talan.bank.gov.ua/get-user-certificate/J5325vQV9a6h4a0ODV6g","Завантажити сертифікат")</f>
        <v>Завантажити сертифікат</v>
      </c>
    </row>
    <row r="1947" spans="1:6" x14ac:dyDescent="0.3">
      <c r="A1947" s="2">
        <v>1946</v>
      </c>
      <c r="B1947" s="1" t="s">
        <v>4132</v>
      </c>
      <c r="C1947" s="1" t="s">
        <v>4117</v>
      </c>
      <c r="D1947" s="1" t="s">
        <v>4118</v>
      </c>
      <c r="E1947" s="1" t="s">
        <v>4133</v>
      </c>
      <c r="F1947" s="1" t="str">
        <f>HYPERLINK("https://talan.bank.gov.ua/get-user-certificate/J5325tQve7Lq7xrS0cH1","Завантажити сертифікат")</f>
        <v>Завантажити сертифікат</v>
      </c>
    </row>
    <row r="1948" spans="1:6" x14ac:dyDescent="0.3">
      <c r="A1948" s="2">
        <v>1947</v>
      </c>
      <c r="B1948" s="1" t="s">
        <v>4134</v>
      </c>
      <c r="C1948" s="1" t="s">
        <v>4117</v>
      </c>
      <c r="D1948" s="1" t="s">
        <v>4118</v>
      </c>
      <c r="E1948" s="1" t="s">
        <v>4135</v>
      </c>
      <c r="F1948" s="1" t="str">
        <f>HYPERLINK("https://talan.bank.gov.ua/get-user-certificate/J5325pppCvNErDoCT3Ei","Завантажити сертифікат")</f>
        <v>Завантажити сертифікат</v>
      </c>
    </row>
    <row r="1949" spans="1:6" x14ac:dyDescent="0.3">
      <c r="A1949" s="2">
        <v>1948</v>
      </c>
      <c r="B1949" s="1" t="s">
        <v>4136</v>
      </c>
      <c r="C1949" s="1" t="s">
        <v>4117</v>
      </c>
      <c r="D1949" s="1" t="s">
        <v>4118</v>
      </c>
      <c r="E1949" s="1" t="s">
        <v>4137</v>
      </c>
      <c r="F1949" s="1" t="str">
        <f>HYPERLINK("https://talan.bank.gov.ua/get-user-certificate/J5325DBdBGjDLy99JwQ4","Завантажити сертифікат")</f>
        <v>Завантажити сертифікат</v>
      </c>
    </row>
    <row r="1950" spans="1:6" x14ac:dyDescent="0.3">
      <c r="A1950" s="2">
        <v>1949</v>
      </c>
      <c r="B1950" s="1" t="s">
        <v>4138</v>
      </c>
      <c r="C1950" s="1" t="s">
        <v>4117</v>
      </c>
      <c r="D1950" s="1" t="s">
        <v>4118</v>
      </c>
      <c r="E1950" s="1" t="s">
        <v>4139</v>
      </c>
      <c r="F1950" s="1" t="str">
        <f>HYPERLINK("https://talan.bank.gov.ua/get-user-certificate/J5325rP-GQHWIUZ1DoIG","Завантажити сертифікат")</f>
        <v>Завантажити сертифікат</v>
      </c>
    </row>
    <row r="1951" spans="1:6" x14ac:dyDescent="0.3">
      <c r="A1951" s="2">
        <v>1950</v>
      </c>
      <c r="B1951" s="1" t="s">
        <v>4140</v>
      </c>
      <c r="C1951" s="1" t="s">
        <v>4117</v>
      </c>
      <c r="D1951" s="1" t="s">
        <v>4118</v>
      </c>
      <c r="E1951" s="1" t="s">
        <v>4141</v>
      </c>
      <c r="F1951" s="1" t="str">
        <f>HYPERLINK("https://talan.bank.gov.ua/get-user-certificate/J5325ySk8bFawZTOaPD0","Завантажити сертифікат")</f>
        <v>Завантажити сертифікат</v>
      </c>
    </row>
    <row r="1952" spans="1:6" x14ac:dyDescent="0.3">
      <c r="A1952" s="2">
        <v>1951</v>
      </c>
      <c r="B1952" s="1" t="s">
        <v>4142</v>
      </c>
      <c r="C1952" s="1" t="s">
        <v>4117</v>
      </c>
      <c r="D1952" s="1" t="s">
        <v>4118</v>
      </c>
      <c r="E1952" s="1" t="s">
        <v>4143</v>
      </c>
      <c r="F1952" s="1" t="str">
        <f>HYPERLINK("https://talan.bank.gov.ua/get-user-certificate/J5325PsjA1umWMhQ9B6V","Завантажити сертифікат")</f>
        <v>Завантажити сертифікат</v>
      </c>
    </row>
    <row r="1953" spans="1:6" x14ac:dyDescent="0.3">
      <c r="A1953" s="2">
        <v>1952</v>
      </c>
      <c r="B1953" s="1" t="s">
        <v>4144</v>
      </c>
      <c r="C1953" s="1" t="s">
        <v>4117</v>
      </c>
      <c r="D1953" s="1" t="s">
        <v>4118</v>
      </c>
      <c r="E1953" s="1" t="s">
        <v>4145</v>
      </c>
      <c r="F1953" s="1" t="str">
        <f>HYPERLINK("https://talan.bank.gov.ua/get-user-certificate/J5325lXNYOIclVbiHcLl","Завантажити сертифікат")</f>
        <v>Завантажити сертифікат</v>
      </c>
    </row>
    <row r="1954" spans="1:6" x14ac:dyDescent="0.3">
      <c r="A1954" s="2">
        <v>1953</v>
      </c>
      <c r="B1954" s="1" t="s">
        <v>4146</v>
      </c>
      <c r="C1954" s="1" t="s">
        <v>4117</v>
      </c>
      <c r="D1954" s="1" t="s">
        <v>4118</v>
      </c>
      <c r="E1954" s="1" t="s">
        <v>4147</v>
      </c>
      <c r="F1954" s="1" t="str">
        <f>HYPERLINK("https://talan.bank.gov.ua/get-user-certificate/J5325nCxR1sXqSp1QhKc","Завантажити сертифікат")</f>
        <v>Завантажити сертифікат</v>
      </c>
    </row>
    <row r="1955" spans="1:6" x14ac:dyDescent="0.3">
      <c r="A1955" s="2">
        <v>1954</v>
      </c>
      <c r="B1955" s="1" t="s">
        <v>4148</v>
      </c>
      <c r="C1955" s="1" t="s">
        <v>4117</v>
      </c>
      <c r="D1955" s="1" t="s">
        <v>4118</v>
      </c>
      <c r="E1955" s="1" t="s">
        <v>4149</v>
      </c>
      <c r="F1955" s="1" t="str">
        <f>HYPERLINK("https://talan.bank.gov.ua/get-user-certificate/J5325bql3CEhLklVNxUf","Завантажити сертифікат")</f>
        <v>Завантажити сертифікат</v>
      </c>
    </row>
    <row r="1956" spans="1:6" x14ac:dyDescent="0.3">
      <c r="A1956" s="2">
        <v>1955</v>
      </c>
      <c r="B1956" s="1" t="s">
        <v>4150</v>
      </c>
      <c r="C1956" s="1" t="s">
        <v>4117</v>
      </c>
      <c r="D1956" s="1" t="s">
        <v>4118</v>
      </c>
      <c r="E1956" s="1" t="s">
        <v>4151</v>
      </c>
      <c r="F1956" s="1" t="str">
        <f>HYPERLINK("https://talan.bank.gov.ua/get-user-certificate/J5325XEk1rAVDLUcFcZw","Завантажити сертифікат")</f>
        <v>Завантажити сертифікат</v>
      </c>
    </row>
    <row r="1957" spans="1:6" x14ac:dyDescent="0.3">
      <c r="A1957" s="2">
        <v>1956</v>
      </c>
      <c r="B1957" s="1" t="s">
        <v>4152</v>
      </c>
      <c r="C1957" s="1" t="s">
        <v>4117</v>
      </c>
      <c r="D1957" s="1" t="s">
        <v>4118</v>
      </c>
      <c r="E1957" s="1" t="s">
        <v>4153</v>
      </c>
      <c r="F1957" s="1" t="str">
        <f>HYPERLINK("https://talan.bank.gov.ua/get-user-certificate/J5325wfempxiU-1VJAtn","Завантажити сертифікат")</f>
        <v>Завантажити сертифікат</v>
      </c>
    </row>
    <row r="1958" spans="1:6" x14ac:dyDescent="0.3">
      <c r="A1958" s="2">
        <v>1957</v>
      </c>
      <c r="B1958" s="1" t="s">
        <v>4154</v>
      </c>
      <c r="C1958" s="1" t="s">
        <v>4117</v>
      </c>
      <c r="D1958" s="1" t="s">
        <v>4118</v>
      </c>
      <c r="E1958" s="1" t="s">
        <v>4155</v>
      </c>
      <c r="F1958" s="1" t="str">
        <f>HYPERLINK("https://talan.bank.gov.ua/get-user-certificate/J53259R8UgfMkd7E6oqP","Завантажити сертифікат")</f>
        <v>Завантажити сертифікат</v>
      </c>
    </row>
    <row r="1959" spans="1:6" x14ac:dyDescent="0.3">
      <c r="A1959" s="2">
        <v>1958</v>
      </c>
      <c r="B1959" s="1" t="s">
        <v>4156</v>
      </c>
      <c r="C1959" s="1" t="s">
        <v>4117</v>
      </c>
      <c r="D1959" s="1" t="s">
        <v>4118</v>
      </c>
      <c r="E1959" s="1" t="s">
        <v>4157</v>
      </c>
      <c r="F1959" s="1" t="str">
        <f>HYPERLINK("https://talan.bank.gov.ua/get-user-certificate/J5325uKfMAthJN-gTJw9","Завантажити сертифікат")</f>
        <v>Завантажити сертифікат</v>
      </c>
    </row>
    <row r="1960" spans="1:6" x14ac:dyDescent="0.3">
      <c r="A1960" s="2">
        <v>1959</v>
      </c>
      <c r="B1960" s="1" t="s">
        <v>4158</v>
      </c>
      <c r="C1960" s="1" t="s">
        <v>4117</v>
      </c>
      <c r="D1960" s="1" t="s">
        <v>4118</v>
      </c>
      <c r="E1960" s="1" t="s">
        <v>4159</v>
      </c>
      <c r="F1960" s="1" t="str">
        <f>HYPERLINK("https://talan.bank.gov.ua/get-user-certificate/J5325f11AIIVc7ZM_j-D","Завантажити сертифікат")</f>
        <v>Завантажити сертифікат</v>
      </c>
    </row>
    <row r="1961" spans="1:6" x14ac:dyDescent="0.3">
      <c r="A1961" s="2">
        <v>1960</v>
      </c>
      <c r="B1961" s="1" t="s">
        <v>4160</v>
      </c>
      <c r="C1961" s="1" t="s">
        <v>4117</v>
      </c>
      <c r="D1961" s="1" t="s">
        <v>4118</v>
      </c>
      <c r="E1961" s="1" t="s">
        <v>4161</v>
      </c>
      <c r="F1961" s="1" t="str">
        <f>HYPERLINK("https://talan.bank.gov.ua/get-user-certificate/J5325rPch9DDqY-HKUjU","Завантажити сертифікат")</f>
        <v>Завантажити сертифікат</v>
      </c>
    </row>
    <row r="1962" spans="1:6" x14ac:dyDescent="0.3">
      <c r="A1962" s="2">
        <v>1961</v>
      </c>
      <c r="B1962" s="1" t="s">
        <v>4162</v>
      </c>
      <c r="C1962" s="1" t="s">
        <v>4117</v>
      </c>
      <c r="D1962" s="1" t="s">
        <v>4118</v>
      </c>
      <c r="E1962" s="1" t="s">
        <v>4163</v>
      </c>
      <c r="F1962" s="1" t="str">
        <f>HYPERLINK("https://talan.bank.gov.ua/get-user-certificate/J53257twEGx1f17FkFdW","Завантажити сертифікат")</f>
        <v>Завантажити сертифікат</v>
      </c>
    </row>
    <row r="1963" spans="1:6" ht="28.8" x14ac:dyDescent="0.3">
      <c r="A1963" s="2">
        <v>1962</v>
      </c>
      <c r="B1963" s="1" t="s">
        <v>4164</v>
      </c>
      <c r="C1963" s="1" t="s">
        <v>4165</v>
      </c>
      <c r="D1963" s="1" t="s">
        <v>4166</v>
      </c>
      <c r="E1963" s="1" t="s">
        <v>4167</v>
      </c>
      <c r="F1963" s="1" t="str">
        <f>HYPERLINK("https://talan.bank.gov.ua/get-user-certificate/J53258nTyUsdnvOUAm_4","Завантажити сертифікат")</f>
        <v>Завантажити сертифікат</v>
      </c>
    </row>
    <row r="1964" spans="1:6" ht="28.8" x14ac:dyDescent="0.3">
      <c r="A1964" s="2">
        <v>1963</v>
      </c>
      <c r="B1964" s="1" t="s">
        <v>4168</v>
      </c>
      <c r="C1964" s="1" t="s">
        <v>4165</v>
      </c>
      <c r="D1964" s="1" t="s">
        <v>4166</v>
      </c>
      <c r="E1964" s="1" t="s">
        <v>4169</v>
      </c>
      <c r="F1964" s="1" t="str">
        <f>HYPERLINK("https://talan.bank.gov.ua/get-user-certificate/J5325Y_ROAtMHck4E-PE","Завантажити сертифікат")</f>
        <v>Завантажити сертифікат</v>
      </c>
    </row>
    <row r="1965" spans="1:6" ht="28.8" x14ac:dyDescent="0.3">
      <c r="A1965" s="2">
        <v>1964</v>
      </c>
      <c r="B1965" s="1" t="s">
        <v>4170</v>
      </c>
      <c r="C1965" s="1" t="s">
        <v>4165</v>
      </c>
      <c r="D1965" s="1" t="s">
        <v>4166</v>
      </c>
      <c r="E1965" s="1" t="s">
        <v>4171</v>
      </c>
      <c r="F1965" s="1" t="str">
        <f>HYPERLINK("https://talan.bank.gov.ua/get-user-certificate/J5325viMWvN-i6GHg6Vz","Завантажити сертифікат")</f>
        <v>Завантажити сертифікат</v>
      </c>
    </row>
    <row r="1966" spans="1:6" ht="28.8" x14ac:dyDescent="0.3">
      <c r="A1966" s="2">
        <v>1965</v>
      </c>
      <c r="B1966" s="1" t="s">
        <v>4172</v>
      </c>
      <c r="C1966" s="1" t="s">
        <v>4165</v>
      </c>
      <c r="D1966" s="1" t="s">
        <v>4166</v>
      </c>
      <c r="E1966" s="1" t="s">
        <v>4173</v>
      </c>
      <c r="F1966" s="1" t="str">
        <f>HYPERLINK("https://talan.bank.gov.ua/get-user-certificate/J5325n3xrwKrnc63QyL8","Завантажити сертифікат")</f>
        <v>Завантажити сертифікат</v>
      </c>
    </row>
    <row r="1967" spans="1:6" ht="28.8" x14ac:dyDescent="0.3">
      <c r="A1967" s="2">
        <v>1966</v>
      </c>
      <c r="B1967" s="1" t="s">
        <v>4174</v>
      </c>
      <c r="C1967" s="1" t="s">
        <v>4165</v>
      </c>
      <c r="D1967" s="1" t="s">
        <v>4166</v>
      </c>
      <c r="E1967" s="1" t="s">
        <v>4175</v>
      </c>
      <c r="F1967" s="1" t="str">
        <f>HYPERLINK("https://talan.bank.gov.ua/get-user-certificate/J5325aicHIJmXl6FIBlR","Завантажити сертифікат")</f>
        <v>Завантажити сертифікат</v>
      </c>
    </row>
    <row r="1968" spans="1:6" ht="28.8" x14ac:dyDescent="0.3">
      <c r="A1968" s="2">
        <v>1967</v>
      </c>
      <c r="B1968" s="1" t="s">
        <v>4176</v>
      </c>
      <c r="C1968" s="1" t="s">
        <v>4165</v>
      </c>
      <c r="D1968" s="1" t="s">
        <v>4166</v>
      </c>
      <c r="E1968" s="1" t="s">
        <v>4177</v>
      </c>
      <c r="F1968" s="1" t="str">
        <f>HYPERLINK("https://talan.bank.gov.ua/get-user-certificate/J5325slhsyTW_TSI8tZE","Завантажити сертифікат")</f>
        <v>Завантажити сертифікат</v>
      </c>
    </row>
    <row r="1969" spans="1:6" ht="28.8" x14ac:dyDescent="0.3">
      <c r="A1969" s="2">
        <v>1968</v>
      </c>
      <c r="B1969" s="1" t="s">
        <v>4178</v>
      </c>
      <c r="C1969" s="1" t="s">
        <v>4165</v>
      </c>
      <c r="D1969" s="1" t="s">
        <v>4166</v>
      </c>
      <c r="E1969" s="1" t="s">
        <v>4179</v>
      </c>
      <c r="F1969" s="1" t="str">
        <f>HYPERLINK("https://talan.bank.gov.ua/get-user-certificate/J5325DnWZ0OuvqaMoUhE","Завантажити сертифікат")</f>
        <v>Завантажити сертифікат</v>
      </c>
    </row>
    <row r="1970" spans="1:6" ht="28.8" x14ac:dyDescent="0.3">
      <c r="A1970" s="2">
        <v>1969</v>
      </c>
      <c r="B1970" s="1" t="s">
        <v>4180</v>
      </c>
      <c r="C1970" s="1" t="s">
        <v>4165</v>
      </c>
      <c r="D1970" s="1" t="s">
        <v>4166</v>
      </c>
      <c r="E1970" s="1" t="s">
        <v>4181</v>
      </c>
      <c r="F1970" s="1" t="str">
        <f>HYPERLINK("https://talan.bank.gov.ua/get-user-certificate/J5325j6mx2vscyOuZDAw","Завантажити сертифікат")</f>
        <v>Завантажити сертифікат</v>
      </c>
    </row>
    <row r="1971" spans="1:6" ht="28.8" x14ac:dyDescent="0.3">
      <c r="A1971" s="2">
        <v>1970</v>
      </c>
      <c r="B1971" s="1" t="s">
        <v>4182</v>
      </c>
      <c r="C1971" s="1" t="s">
        <v>4165</v>
      </c>
      <c r="D1971" s="1" t="s">
        <v>4166</v>
      </c>
      <c r="E1971" s="1" t="s">
        <v>4183</v>
      </c>
      <c r="F1971" s="1" t="str">
        <f>HYPERLINK("https://talan.bank.gov.ua/get-user-certificate/J5325T7_TDE0eQUa2T11","Завантажити сертифікат")</f>
        <v>Завантажити сертифікат</v>
      </c>
    </row>
    <row r="1972" spans="1:6" ht="28.8" x14ac:dyDescent="0.3">
      <c r="A1972" s="2">
        <v>1971</v>
      </c>
      <c r="B1972" s="1" t="s">
        <v>4184</v>
      </c>
      <c r="C1972" s="1" t="s">
        <v>4165</v>
      </c>
      <c r="D1972" s="1" t="s">
        <v>4166</v>
      </c>
      <c r="E1972" s="1" t="s">
        <v>4185</v>
      </c>
      <c r="F1972" s="1" t="str">
        <f>HYPERLINK("https://talan.bank.gov.ua/get-user-certificate/J5325hRlvC2qByUEORA9","Завантажити сертифікат")</f>
        <v>Завантажити сертифікат</v>
      </c>
    </row>
    <row r="1973" spans="1:6" x14ac:dyDescent="0.3">
      <c r="A1973" s="2">
        <v>1972</v>
      </c>
      <c r="B1973" s="1" t="s">
        <v>4186</v>
      </c>
      <c r="C1973" s="1" t="s">
        <v>4187</v>
      </c>
      <c r="D1973" s="1" t="s">
        <v>4188</v>
      </c>
      <c r="E1973" s="1" t="s">
        <v>4189</v>
      </c>
      <c r="F1973" s="1" t="str">
        <f>HYPERLINK("https://talan.bank.gov.ua/get-user-certificate/J5325THU6LxlmJ5w4AM9","Завантажити сертифікат")</f>
        <v>Завантажити сертифікат</v>
      </c>
    </row>
    <row r="1974" spans="1:6" x14ac:dyDescent="0.3">
      <c r="A1974" s="2">
        <v>1973</v>
      </c>
      <c r="B1974" s="1" t="s">
        <v>4190</v>
      </c>
      <c r="C1974" s="1" t="s">
        <v>4187</v>
      </c>
      <c r="D1974" s="1" t="s">
        <v>4188</v>
      </c>
      <c r="E1974" s="1" t="s">
        <v>4191</v>
      </c>
      <c r="F1974" s="1" t="str">
        <f>HYPERLINK("https://talan.bank.gov.ua/get-user-certificate/J5325IES8YWYTs8cmXJb","Завантажити сертифікат")</f>
        <v>Завантажити сертифікат</v>
      </c>
    </row>
    <row r="1975" spans="1:6" x14ac:dyDescent="0.3">
      <c r="A1975" s="2">
        <v>1974</v>
      </c>
      <c r="B1975" s="1" t="s">
        <v>4192</v>
      </c>
      <c r="C1975" s="1" t="s">
        <v>4187</v>
      </c>
      <c r="D1975" s="1" t="s">
        <v>4188</v>
      </c>
      <c r="E1975" s="1" t="s">
        <v>4193</v>
      </c>
      <c r="F1975" s="1" t="str">
        <f>HYPERLINK("https://talan.bank.gov.ua/get-user-certificate/J5325yXbBvrWGweoibLt","Завантажити сертифікат")</f>
        <v>Завантажити сертифікат</v>
      </c>
    </row>
    <row r="1976" spans="1:6" x14ac:dyDescent="0.3">
      <c r="A1976" s="2">
        <v>1975</v>
      </c>
      <c r="B1976" s="1" t="s">
        <v>4194</v>
      </c>
      <c r="C1976" s="1" t="s">
        <v>4187</v>
      </c>
      <c r="D1976" s="1" t="s">
        <v>4188</v>
      </c>
      <c r="E1976" s="1" t="s">
        <v>4195</v>
      </c>
      <c r="F1976" s="1" t="str">
        <f>HYPERLINK("https://talan.bank.gov.ua/get-user-certificate/J5325ksVvoyVyQaPHmA8","Завантажити сертифікат")</f>
        <v>Завантажити сертифікат</v>
      </c>
    </row>
    <row r="1977" spans="1:6" ht="28.8" x14ac:dyDescent="0.3">
      <c r="A1977" s="2">
        <v>1976</v>
      </c>
      <c r="B1977" s="1" t="s">
        <v>4196</v>
      </c>
      <c r="C1977" s="1" t="s">
        <v>4197</v>
      </c>
      <c r="D1977" s="1" t="s">
        <v>4198</v>
      </c>
      <c r="E1977" s="1" t="s">
        <v>4199</v>
      </c>
      <c r="F1977" s="1" t="str">
        <f>HYPERLINK("https://talan.bank.gov.ua/get-user-certificate/J5325BHWt_OSR6AIvgRQ","Завантажити сертифікат")</f>
        <v>Завантажити сертифікат</v>
      </c>
    </row>
    <row r="1978" spans="1:6" ht="28.8" x14ac:dyDescent="0.3">
      <c r="A1978" s="2">
        <v>1977</v>
      </c>
      <c r="B1978" s="1" t="s">
        <v>4200</v>
      </c>
      <c r="C1978" s="1" t="s">
        <v>4197</v>
      </c>
      <c r="D1978" s="1" t="s">
        <v>4198</v>
      </c>
      <c r="E1978" s="1" t="s">
        <v>4201</v>
      </c>
      <c r="F1978" s="1" t="str">
        <f>HYPERLINK("https://talan.bank.gov.ua/get-user-certificate/J5325Jnx7jp8Fc2PMVXk","Завантажити сертифікат")</f>
        <v>Завантажити сертифікат</v>
      </c>
    </row>
    <row r="1979" spans="1:6" ht="28.8" x14ac:dyDescent="0.3">
      <c r="A1979" s="2">
        <v>1978</v>
      </c>
      <c r="B1979" s="1" t="s">
        <v>4202</v>
      </c>
      <c r="C1979" s="1" t="s">
        <v>4197</v>
      </c>
      <c r="D1979" s="1" t="s">
        <v>4198</v>
      </c>
      <c r="E1979" s="1" t="s">
        <v>4203</v>
      </c>
      <c r="F1979" s="1" t="str">
        <f>HYPERLINK("https://talan.bank.gov.ua/get-user-certificate/J5325Un0eCJTSn0cQn5x","Завантажити сертифікат")</f>
        <v>Завантажити сертифікат</v>
      </c>
    </row>
    <row r="1980" spans="1:6" ht="28.8" x14ac:dyDescent="0.3">
      <c r="A1980" s="2">
        <v>1979</v>
      </c>
      <c r="B1980" s="1" t="s">
        <v>4204</v>
      </c>
      <c r="C1980" s="1" t="s">
        <v>4197</v>
      </c>
      <c r="D1980" s="1" t="s">
        <v>4198</v>
      </c>
      <c r="E1980" s="1" t="s">
        <v>4205</v>
      </c>
      <c r="F1980" s="1" t="str">
        <f>HYPERLINK("https://talan.bank.gov.ua/get-user-certificate/J53258SZXyHsrcVaRxjW","Завантажити сертифікат")</f>
        <v>Завантажити сертифікат</v>
      </c>
    </row>
    <row r="1981" spans="1:6" ht="28.8" x14ac:dyDescent="0.3">
      <c r="A1981" s="2">
        <v>1980</v>
      </c>
      <c r="B1981" s="1" t="s">
        <v>4206</v>
      </c>
      <c r="C1981" s="1" t="s">
        <v>4197</v>
      </c>
      <c r="D1981" s="1" t="s">
        <v>4198</v>
      </c>
      <c r="E1981" s="1" t="s">
        <v>4207</v>
      </c>
      <c r="F1981" s="1" t="str">
        <f>HYPERLINK("https://talan.bank.gov.ua/get-user-certificate/J5325DjsUafDM-gTb7VE","Завантажити сертифікат")</f>
        <v>Завантажити сертифікат</v>
      </c>
    </row>
    <row r="1982" spans="1:6" ht="28.8" x14ac:dyDescent="0.3">
      <c r="A1982" s="2">
        <v>1981</v>
      </c>
      <c r="B1982" s="1" t="s">
        <v>4208</v>
      </c>
      <c r="C1982" s="1" t="s">
        <v>4197</v>
      </c>
      <c r="D1982" s="1" t="s">
        <v>4198</v>
      </c>
      <c r="E1982" s="1" t="s">
        <v>4209</v>
      </c>
      <c r="F1982" s="1" t="str">
        <f>HYPERLINK("https://talan.bank.gov.ua/get-user-certificate/J53256jbPrNWbPPgQ8oS","Завантажити сертифікат")</f>
        <v>Завантажити сертифікат</v>
      </c>
    </row>
    <row r="1983" spans="1:6" ht="28.8" x14ac:dyDescent="0.3">
      <c r="A1983" s="2">
        <v>1982</v>
      </c>
      <c r="B1983" s="1" t="s">
        <v>4210</v>
      </c>
      <c r="C1983" s="1" t="s">
        <v>4197</v>
      </c>
      <c r="D1983" s="1" t="s">
        <v>4198</v>
      </c>
      <c r="E1983" s="1" t="s">
        <v>4211</v>
      </c>
      <c r="F1983" s="1" t="str">
        <f>HYPERLINK("https://talan.bank.gov.ua/get-user-certificate/J532557JDQoiVjHYaN3t","Завантажити сертифікат")</f>
        <v>Завантажити сертифікат</v>
      </c>
    </row>
    <row r="1984" spans="1:6" x14ac:dyDescent="0.3">
      <c r="A1984" s="2">
        <v>1983</v>
      </c>
      <c r="B1984" s="1" t="s">
        <v>4212</v>
      </c>
      <c r="C1984" s="1" t="s">
        <v>4213</v>
      </c>
      <c r="D1984" s="1" t="s">
        <v>4214</v>
      </c>
      <c r="E1984" s="1" t="s">
        <v>4215</v>
      </c>
      <c r="F1984" s="1" t="str">
        <f>HYPERLINK("https://talan.bank.gov.ua/get-user-certificate/J5325YirGX84JH_TAJT4","Завантажити сертифікат")</f>
        <v>Завантажити сертифікат</v>
      </c>
    </row>
    <row r="1985" spans="1:6" x14ac:dyDescent="0.3">
      <c r="A1985" s="2">
        <v>1984</v>
      </c>
      <c r="B1985" s="1" t="s">
        <v>4216</v>
      </c>
      <c r="C1985" s="1" t="s">
        <v>4213</v>
      </c>
      <c r="D1985" s="1" t="s">
        <v>4214</v>
      </c>
      <c r="E1985" s="1" t="s">
        <v>4217</v>
      </c>
      <c r="F1985" s="1" t="str">
        <f>HYPERLINK("https://talan.bank.gov.ua/get-user-certificate/J5325TzPZ_ipq9KDZVx_","Завантажити сертифікат")</f>
        <v>Завантажити сертифікат</v>
      </c>
    </row>
    <row r="1986" spans="1:6" x14ac:dyDescent="0.3">
      <c r="A1986" s="2">
        <v>1985</v>
      </c>
      <c r="B1986" s="1" t="s">
        <v>4218</v>
      </c>
      <c r="C1986" s="1" t="s">
        <v>4213</v>
      </c>
      <c r="D1986" s="1" t="s">
        <v>4214</v>
      </c>
      <c r="E1986" s="1" t="s">
        <v>4219</v>
      </c>
      <c r="F1986" s="1" t="str">
        <f>HYPERLINK("https://talan.bank.gov.ua/get-user-certificate/J5325mytJPu4GzNU-zIL","Завантажити сертифікат")</f>
        <v>Завантажити сертифікат</v>
      </c>
    </row>
    <row r="1987" spans="1:6" x14ac:dyDescent="0.3">
      <c r="A1987" s="2">
        <v>1986</v>
      </c>
      <c r="B1987" s="1" t="s">
        <v>4220</v>
      </c>
      <c r="C1987" s="1" t="s">
        <v>4213</v>
      </c>
      <c r="D1987" s="1" t="s">
        <v>4214</v>
      </c>
      <c r="E1987" s="1" t="s">
        <v>4221</v>
      </c>
      <c r="F1987" s="1" t="str">
        <f>HYPERLINK("https://talan.bank.gov.ua/get-user-certificate/J532517uHUvSucNoAIcU","Завантажити сертифікат")</f>
        <v>Завантажити сертифікат</v>
      </c>
    </row>
    <row r="1988" spans="1:6" ht="28.8" x14ac:dyDescent="0.3">
      <c r="A1988" s="2">
        <v>1987</v>
      </c>
      <c r="B1988" s="1" t="s">
        <v>4222</v>
      </c>
      <c r="C1988" s="1" t="s">
        <v>4223</v>
      </c>
      <c r="D1988" s="1" t="s">
        <v>4224</v>
      </c>
      <c r="E1988" s="1" t="s">
        <v>4225</v>
      </c>
      <c r="F1988" s="1" t="str">
        <f>HYPERLINK("https://talan.bank.gov.ua/get-user-certificate/J5325keqNVc2Tle5_2b5","Завантажити сертифікат")</f>
        <v>Завантажити сертифікат</v>
      </c>
    </row>
    <row r="1989" spans="1:6" x14ac:dyDescent="0.3">
      <c r="A1989" s="2">
        <v>1988</v>
      </c>
      <c r="B1989" s="1" t="s">
        <v>4226</v>
      </c>
      <c r="C1989" s="1" t="s">
        <v>4223</v>
      </c>
      <c r="D1989" s="1" t="s">
        <v>4224</v>
      </c>
      <c r="E1989" s="1" t="s">
        <v>4227</v>
      </c>
      <c r="F1989" s="1" t="str">
        <f>HYPERLINK("https://talan.bank.gov.ua/get-user-certificate/J5325vVWIxE4sWzDUes6","Завантажити сертифікат")</f>
        <v>Завантажити сертифікат</v>
      </c>
    </row>
    <row r="1990" spans="1:6" x14ac:dyDescent="0.3">
      <c r="A1990" s="2">
        <v>1989</v>
      </c>
      <c r="B1990" s="1" t="s">
        <v>4228</v>
      </c>
      <c r="C1990" s="1" t="s">
        <v>4223</v>
      </c>
      <c r="D1990" s="1" t="s">
        <v>4224</v>
      </c>
      <c r="E1990" s="1" t="s">
        <v>4229</v>
      </c>
      <c r="F1990" s="1" t="str">
        <f>HYPERLINK("https://talan.bank.gov.ua/get-user-certificate/J5325dfuck02S6BNIkRN","Завантажити сертифікат")</f>
        <v>Завантажити сертифікат</v>
      </c>
    </row>
    <row r="1991" spans="1:6" x14ac:dyDescent="0.3">
      <c r="A1991" s="2">
        <v>1990</v>
      </c>
      <c r="B1991" s="1" t="s">
        <v>4230</v>
      </c>
      <c r="C1991" s="1" t="s">
        <v>4223</v>
      </c>
      <c r="D1991" s="1" t="s">
        <v>4224</v>
      </c>
      <c r="E1991" s="1" t="s">
        <v>4231</v>
      </c>
      <c r="F1991" s="1" t="str">
        <f>HYPERLINK("https://talan.bank.gov.ua/get-user-certificate/J53257dfCJ1-w3dkPXgM","Завантажити сертифікат")</f>
        <v>Завантажити сертифікат</v>
      </c>
    </row>
    <row r="1992" spans="1:6" x14ac:dyDescent="0.3">
      <c r="A1992" s="2">
        <v>1991</v>
      </c>
      <c r="B1992" s="1" t="s">
        <v>4232</v>
      </c>
      <c r="C1992" s="1" t="s">
        <v>4223</v>
      </c>
      <c r="D1992" s="1" t="s">
        <v>4224</v>
      </c>
      <c r="E1992" s="1" t="s">
        <v>4233</v>
      </c>
      <c r="F1992" s="1" t="str">
        <f>HYPERLINK("https://talan.bank.gov.ua/get-user-certificate/J5325fFzPPNdl6-N3tBs","Завантажити сертифікат")</f>
        <v>Завантажити сертифікат</v>
      </c>
    </row>
    <row r="1993" spans="1:6" x14ac:dyDescent="0.3">
      <c r="A1993" s="2">
        <v>1992</v>
      </c>
      <c r="B1993" s="1" t="s">
        <v>4234</v>
      </c>
      <c r="C1993" s="1" t="s">
        <v>4223</v>
      </c>
      <c r="D1993" s="1" t="s">
        <v>4224</v>
      </c>
      <c r="E1993" s="1" t="s">
        <v>4235</v>
      </c>
      <c r="F1993" s="1" t="str">
        <f>HYPERLINK("https://talan.bank.gov.ua/get-user-certificate/J5325Fd2IMaAVncFK8PL","Завантажити сертифікат")</f>
        <v>Завантажити сертифікат</v>
      </c>
    </row>
    <row r="1994" spans="1:6" x14ac:dyDescent="0.3">
      <c r="A1994" s="2">
        <v>1993</v>
      </c>
      <c r="B1994" s="1" t="s">
        <v>4236</v>
      </c>
      <c r="C1994" s="1" t="s">
        <v>4223</v>
      </c>
      <c r="D1994" s="1" t="s">
        <v>4224</v>
      </c>
      <c r="E1994" s="1" t="s">
        <v>4237</v>
      </c>
      <c r="F1994" s="1" t="str">
        <f>HYPERLINK("https://talan.bank.gov.ua/get-user-certificate/J5325T0uVu_fZMMdiIJb","Завантажити сертифікат")</f>
        <v>Завантажити сертифікат</v>
      </c>
    </row>
    <row r="1995" spans="1:6" x14ac:dyDescent="0.3">
      <c r="A1995" s="2">
        <v>1994</v>
      </c>
      <c r="B1995" s="1" t="s">
        <v>4238</v>
      </c>
      <c r="C1995" s="1" t="s">
        <v>4223</v>
      </c>
      <c r="D1995" s="1" t="s">
        <v>4224</v>
      </c>
      <c r="E1995" s="1" t="s">
        <v>4239</v>
      </c>
      <c r="F1995" s="1" t="str">
        <f>HYPERLINK("https://talan.bank.gov.ua/get-user-certificate/J5325-FZFGdOy0JVzJQf","Завантажити сертифікат")</f>
        <v>Завантажити сертифікат</v>
      </c>
    </row>
    <row r="1996" spans="1:6" x14ac:dyDescent="0.3">
      <c r="A1996" s="2">
        <v>1995</v>
      </c>
      <c r="B1996" s="1" t="s">
        <v>4240</v>
      </c>
      <c r="C1996" s="1" t="s">
        <v>4223</v>
      </c>
      <c r="D1996" s="1" t="s">
        <v>4224</v>
      </c>
      <c r="E1996" s="1" t="s">
        <v>4241</v>
      </c>
      <c r="F1996" s="1" t="str">
        <f>HYPERLINK("https://talan.bank.gov.ua/get-user-certificate/J5325mIlLXwqTrNw2PL2","Завантажити сертифікат")</f>
        <v>Завантажити сертифікат</v>
      </c>
    </row>
    <row r="1997" spans="1:6" x14ac:dyDescent="0.3">
      <c r="A1997" s="2">
        <v>1996</v>
      </c>
      <c r="B1997" s="1" t="s">
        <v>4242</v>
      </c>
      <c r="C1997" s="1" t="s">
        <v>4223</v>
      </c>
      <c r="D1997" s="1" t="s">
        <v>4224</v>
      </c>
      <c r="E1997" s="1" t="s">
        <v>4243</v>
      </c>
      <c r="F1997" s="1" t="str">
        <f>HYPERLINK("https://talan.bank.gov.ua/get-user-certificate/J5325_vZBD1QCEhLJKYx","Завантажити сертифікат")</f>
        <v>Завантажити сертифікат</v>
      </c>
    </row>
    <row r="1998" spans="1:6" x14ac:dyDescent="0.3">
      <c r="A1998" s="2">
        <v>1997</v>
      </c>
      <c r="B1998" s="1" t="s">
        <v>4244</v>
      </c>
      <c r="C1998" s="1" t="s">
        <v>4223</v>
      </c>
      <c r="D1998" s="1" t="s">
        <v>4224</v>
      </c>
      <c r="E1998" s="1" t="s">
        <v>4245</v>
      </c>
      <c r="F1998" s="1" t="str">
        <f>HYPERLINK("https://talan.bank.gov.ua/get-user-certificate/J5325N94aL58EC2MK-K0","Завантажити сертифікат")</f>
        <v>Завантажити сертифікат</v>
      </c>
    </row>
    <row r="1999" spans="1:6" x14ac:dyDescent="0.3">
      <c r="A1999" s="2">
        <v>1998</v>
      </c>
      <c r="B1999" s="1" t="s">
        <v>4246</v>
      </c>
      <c r="C1999" s="1" t="s">
        <v>4247</v>
      </c>
      <c r="D1999" s="1" t="s">
        <v>4248</v>
      </c>
      <c r="E1999" s="1" t="s">
        <v>4249</v>
      </c>
      <c r="F1999" s="1" t="str">
        <f>HYPERLINK("https://talan.bank.gov.ua/get-user-certificate/J53250I7MxkyzAUTrPc2","Завантажити сертифікат")</f>
        <v>Завантажити сертифікат</v>
      </c>
    </row>
    <row r="2000" spans="1:6" x14ac:dyDescent="0.3">
      <c r="A2000" s="2">
        <v>1999</v>
      </c>
      <c r="B2000" s="1" t="s">
        <v>4250</v>
      </c>
      <c r="C2000" s="1" t="s">
        <v>4251</v>
      </c>
      <c r="D2000" s="1" t="s">
        <v>4252</v>
      </c>
      <c r="E2000" s="1" t="s">
        <v>4253</v>
      </c>
      <c r="F2000" s="1" t="str">
        <f>HYPERLINK("https://talan.bank.gov.ua/get-user-certificate/J5325oxKaC8ZQSLXS6Fz","Завантажити сертифікат")</f>
        <v>Завантажити сертифікат</v>
      </c>
    </row>
    <row r="2001" spans="1:6" x14ac:dyDescent="0.3">
      <c r="A2001" s="2">
        <v>2000</v>
      </c>
      <c r="B2001" s="1" t="s">
        <v>4254</v>
      </c>
      <c r="C2001" s="1" t="s">
        <v>4251</v>
      </c>
      <c r="D2001" s="1" t="s">
        <v>4252</v>
      </c>
      <c r="E2001" s="1" t="s">
        <v>4255</v>
      </c>
      <c r="F2001" s="1" t="str">
        <f>HYPERLINK("https://talan.bank.gov.ua/get-user-certificate/J5325bLct7F7KHVwE3_2","Завантажити сертифікат")</f>
        <v>Завантажити сертифікат</v>
      </c>
    </row>
    <row r="2002" spans="1:6" x14ac:dyDescent="0.3">
      <c r="A2002" s="2">
        <v>2001</v>
      </c>
      <c r="B2002" s="1" t="s">
        <v>4256</v>
      </c>
      <c r="C2002" s="1" t="s">
        <v>4251</v>
      </c>
      <c r="D2002" s="1" t="s">
        <v>4252</v>
      </c>
      <c r="E2002" s="1" t="s">
        <v>4257</v>
      </c>
      <c r="F2002" s="1" t="str">
        <f>HYPERLINK("https://talan.bank.gov.ua/get-user-certificate/J53250S2c1I1BJq_Y1zY","Завантажити сертифікат")</f>
        <v>Завантажити сертифікат</v>
      </c>
    </row>
    <row r="2003" spans="1:6" x14ac:dyDescent="0.3">
      <c r="A2003" s="2">
        <v>2002</v>
      </c>
      <c r="B2003" s="1" t="s">
        <v>4258</v>
      </c>
      <c r="C2003" s="1" t="s">
        <v>4251</v>
      </c>
      <c r="D2003" s="1" t="s">
        <v>4252</v>
      </c>
      <c r="E2003" s="1" t="s">
        <v>4259</v>
      </c>
      <c r="F2003" s="1" t="str">
        <f>HYPERLINK("https://talan.bank.gov.ua/get-user-certificate/J5325DKkBIZPLHugNErc","Завантажити сертифікат")</f>
        <v>Завантажити сертифікат</v>
      </c>
    </row>
    <row r="2004" spans="1:6" x14ac:dyDescent="0.3">
      <c r="A2004" s="2">
        <v>2003</v>
      </c>
      <c r="B2004" s="1" t="s">
        <v>4260</v>
      </c>
      <c r="C2004" s="1" t="s">
        <v>4251</v>
      </c>
      <c r="D2004" s="1" t="s">
        <v>4252</v>
      </c>
      <c r="E2004" s="1" t="s">
        <v>4261</v>
      </c>
      <c r="F2004" s="1" t="str">
        <f>HYPERLINK("https://talan.bank.gov.ua/get-user-certificate/J5325iW5NLJTQgihZI3l","Завантажити сертифікат")</f>
        <v>Завантажити сертифікат</v>
      </c>
    </row>
    <row r="2005" spans="1:6" x14ac:dyDescent="0.3">
      <c r="A2005" s="2">
        <v>2004</v>
      </c>
      <c r="B2005" s="1" t="s">
        <v>4262</v>
      </c>
      <c r="C2005" s="1" t="s">
        <v>4251</v>
      </c>
      <c r="D2005" s="1" t="s">
        <v>4252</v>
      </c>
      <c r="E2005" s="1" t="s">
        <v>4263</v>
      </c>
      <c r="F2005" s="1" t="str">
        <f>HYPERLINK("https://talan.bank.gov.ua/get-user-certificate/J5325TOusnoJzMXPwo5u","Завантажити сертифікат")</f>
        <v>Завантажити сертифікат</v>
      </c>
    </row>
    <row r="2006" spans="1:6" x14ac:dyDescent="0.3">
      <c r="A2006" s="2">
        <v>2005</v>
      </c>
      <c r="B2006" s="1" t="s">
        <v>4264</v>
      </c>
      <c r="C2006" s="1" t="s">
        <v>4251</v>
      </c>
      <c r="D2006" s="1" t="s">
        <v>4252</v>
      </c>
      <c r="E2006" s="1" t="s">
        <v>4265</v>
      </c>
      <c r="F2006" s="1" t="str">
        <f>HYPERLINK("https://talan.bank.gov.ua/get-user-certificate/J5325nNpPx1_zsVj_Nu2","Завантажити сертифікат")</f>
        <v>Завантажити сертифікат</v>
      </c>
    </row>
    <row r="2007" spans="1:6" x14ac:dyDescent="0.3">
      <c r="A2007" s="2">
        <v>2006</v>
      </c>
      <c r="B2007" s="1" t="s">
        <v>4266</v>
      </c>
      <c r="C2007" s="1" t="s">
        <v>4251</v>
      </c>
      <c r="D2007" s="1" t="s">
        <v>4252</v>
      </c>
      <c r="E2007" s="1" t="s">
        <v>4267</v>
      </c>
      <c r="F2007" s="1" t="str">
        <f>HYPERLINK("https://talan.bank.gov.ua/get-user-certificate/J5325RNTlX3QrrDKyV2T","Завантажити сертифікат")</f>
        <v>Завантажити сертифікат</v>
      </c>
    </row>
    <row r="2008" spans="1:6" x14ac:dyDescent="0.3">
      <c r="A2008" s="2">
        <v>2007</v>
      </c>
      <c r="B2008" s="1" t="s">
        <v>4268</v>
      </c>
      <c r="C2008" s="1" t="s">
        <v>4251</v>
      </c>
      <c r="D2008" s="1" t="s">
        <v>4252</v>
      </c>
      <c r="E2008" s="1" t="s">
        <v>4269</v>
      </c>
      <c r="F2008" s="1" t="str">
        <f>HYPERLINK("https://talan.bank.gov.ua/get-user-certificate/J5325Axh5aR5N95950Cq","Завантажити сертифікат")</f>
        <v>Завантажити сертифікат</v>
      </c>
    </row>
    <row r="2009" spans="1:6" x14ac:dyDescent="0.3">
      <c r="A2009" s="2">
        <v>2008</v>
      </c>
      <c r="B2009" s="1" t="s">
        <v>4270</v>
      </c>
      <c r="C2009" s="1" t="s">
        <v>4251</v>
      </c>
      <c r="D2009" s="1" t="s">
        <v>4252</v>
      </c>
      <c r="E2009" s="1" t="s">
        <v>4271</v>
      </c>
      <c r="F2009" s="1" t="str">
        <f>HYPERLINK("https://talan.bank.gov.ua/get-user-certificate/J53254q9xqI8Wz3sr2Lh","Завантажити сертифікат")</f>
        <v>Завантажити сертифікат</v>
      </c>
    </row>
    <row r="2010" spans="1:6" x14ac:dyDescent="0.3">
      <c r="A2010" s="2">
        <v>2009</v>
      </c>
      <c r="B2010" s="1" t="s">
        <v>4272</v>
      </c>
      <c r="C2010" s="1" t="s">
        <v>4251</v>
      </c>
      <c r="D2010" s="1" t="s">
        <v>4252</v>
      </c>
      <c r="E2010" s="1" t="s">
        <v>4273</v>
      </c>
      <c r="F2010" s="1" t="str">
        <f>HYPERLINK("https://talan.bank.gov.ua/get-user-certificate/J5325OAq5iWs-D-6vT1O","Завантажити сертифікат")</f>
        <v>Завантажити сертифікат</v>
      </c>
    </row>
    <row r="2011" spans="1:6" x14ac:dyDescent="0.3">
      <c r="A2011" s="2">
        <v>2010</v>
      </c>
      <c r="B2011" s="1" t="s">
        <v>4274</v>
      </c>
      <c r="C2011" s="1" t="s">
        <v>4251</v>
      </c>
      <c r="D2011" s="1" t="s">
        <v>4252</v>
      </c>
      <c r="E2011" s="1" t="s">
        <v>4275</v>
      </c>
      <c r="F2011" s="1" t="str">
        <f>HYPERLINK("https://talan.bank.gov.ua/get-user-certificate/J5325xhX8JRvNlun4BrR","Завантажити сертифікат")</f>
        <v>Завантажити сертифікат</v>
      </c>
    </row>
    <row r="2012" spans="1:6" x14ac:dyDescent="0.3">
      <c r="A2012" s="2">
        <v>2011</v>
      </c>
      <c r="B2012" s="1" t="s">
        <v>4276</v>
      </c>
      <c r="C2012" s="1" t="s">
        <v>4251</v>
      </c>
      <c r="D2012" s="1" t="s">
        <v>4252</v>
      </c>
      <c r="E2012" s="1" t="s">
        <v>4277</v>
      </c>
      <c r="F2012" s="1" t="str">
        <f>HYPERLINK("https://talan.bank.gov.ua/get-user-certificate/J5325MNwct3P7PcEvj7e","Завантажити сертифікат")</f>
        <v>Завантажити сертифікат</v>
      </c>
    </row>
    <row r="2013" spans="1:6" x14ac:dyDescent="0.3">
      <c r="A2013" s="2">
        <v>2012</v>
      </c>
      <c r="B2013" s="1" t="s">
        <v>4278</v>
      </c>
      <c r="C2013" s="1" t="s">
        <v>4279</v>
      </c>
      <c r="D2013" s="1" t="s">
        <v>4280</v>
      </c>
      <c r="E2013" s="1" t="s">
        <v>4281</v>
      </c>
      <c r="F2013" s="1" t="str">
        <f>HYPERLINK("https://talan.bank.gov.ua/get-user-certificate/J5325oPm0N_SjRebD0ii","Завантажити сертифікат")</f>
        <v>Завантажити сертифікат</v>
      </c>
    </row>
    <row r="2014" spans="1:6" x14ac:dyDescent="0.3">
      <c r="A2014" s="2">
        <v>2013</v>
      </c>
      <c r="B2014" s="1" t="s">
        <v>4282</v>
      </c>
      <c r="C2014" s="1" t="s">
        <v>4279</v>
      </c>
      <c r="D2014" s="1" t="s">
        <v>4280</v>
      </c>
      <c r="E2014" s="1" t="s">
        <v>4283</v>
      </c>
      <c r="F2014" s="1" t="str">
        <f>HYPERLINK("https://talan.bank.gov.ua/get-user-certificate/J5325cIokEGQzG72dJwW","Завантажити сертифікат")</f>
        <v>Завантажити сертифікат</v>
      </c>
    </row>
    <row r="2015" spans="1:6" x14ac:dyDescent="0.3">
      <c r="A2015" s="2">
        <v>2014</v>
      </c>
      <c r="B2015" s="1" t="s">
        <v>4284</v>
      </c>
      <c r="C2015" s="1" t="s">
        <v>4279</v>
      </c>
      <c r="D2015" s="1" t="s">
        <v>4280</v>
      </c>
      <c r="E2015" s="1" t="s">
        <v>4285</v>
      </c>
      <c r="F2015" s="1" t="str">
        <f>HYPERLINK("https://talan.bank.gov.ua/get-user-certificate/J5325Y9Yufbs0xUblBb8","Завантажити сертифікат")</f>
        <v>Завантажити сертифікат</v>
      </c>
    </row>
    <row r="2016" spans="1:6" x14ac:dyDescent="0.3">
      <c r="A2016" s="2">
        <v>2015</v>
      </c>
      <c r="B2016" s="1" t="s">
        <v>4286</v>
      </c>
      <c r="C2016" s="1" t="s">
        <v>4279</v>
      </c>
      <c r="D2016" s="1" t="s">
        <v>4280</v>
      </c>
      <c r="E2016" s="1" t="s">
        <v>4287</v>
      </c>
      <c r="F2016" s="1" t="str">
        <f>HYPERLINK("https://talan.bank.gov.ua/get-user-certificate/J5325ZbFOLgb11y3NDi7","Завантажити сертифікат")</f>
        <v>Завантажити сертифікат</v>
      </c>
    </row>
    <row r="2017" spans="1:6" x14ac:dyDescent="0.3">
      <c r="A2017" s="2">
        <v>2016</v>
      </c>
      <c r="B2017" s="1" t="s">
        <v>4288</v>
      </c>
      <c r="C2017" s="1" t="s">
        <v>4279</v>
      </c>
      <c r="D2017" s="1" t="s">
        <v>4280</v>
      </c>
      <c r="E2017" s="1" t="s">
        <v>4289</v>
      </c>
      <c r="F2017" s="1" t="str">
        <f>HYPERLINK("https://talan.bank.gov.ua/get-user-certificate/J5325I39oKXOwuLDKMcR","Завантажити сертифікат")</f>
        <v>Завантажити сертифікат</v>
      </c>
    </row>
    <row r="2018" spans="1:6" x14ac:dyDescent="0.3">
      <c r="A2018" s="2">
        <v>2017</v>
      </c>
      <c r="B2018" s="1" t="s">
        <v>4290</v>
      </c>
      <c r="C2018" s="1" t="s">
        <v>4279</v>
      </c>
      <c r="D2018" s="1" t="s">
        <v>4280</v>
      </c>
      <c r="E2018" s="1" t="s">
        <v>4291</v>
      </c>
      <c r="F2018" s="1" t="str">
        <f>HYPERLINK("https://talan.bank.gov.ua/get-user-certificate/J5325_A_3FpFHJSqZkcg","Завантажити сертифікат")</f>
        <v>Завантажити сертифікат</v>
      </c>
    </row>
    <row r="2019" spans="1:6" x14ac:dyDescent="0.3">
      <c r="A2019" s="2">
        <v>2018</v>
      </c>
      <c r="B2019" s="1" t="s">
        <v>4292</v>
      </c>
      <c r="C2019" s="1" t="s">
        <v>4279</v>
      </c>
      <c r="D2019" s="1" t="s">
        <v>4280</v>
      </c>
      <c r="E2019" s="1" t="s">
        <v>4293</v>
      </c>
      <c r="F2019" s="1" t="str">
        <f>HYPERLINK("https://talan.bank.gov.ua/get-user-certificate/J5325wZBYjTWYuWoxHwh","Завантажити сертифікат")</f>
        <v>Завантажити сертифікат</v>
      </c>
    </row>
    <row r="2020" spans="1:6" x14ac:dyDescent="0.3">
      <c r="A2020" s="2">
        <v>2019</v>
      </c>
      <c r="B2020" s="1" t="s">
        <v>4294</v>
      </c>
      <c r="C2020" s="1" t="s">
        <v>4279</v>
      </c>
      <c r="D2020" s="1" t="s">
        <v>4280</v>
      </c>
      <c r="E2020" s="1" t="s">
        <v>4295</v>
      </c>
      <c r="F2020" s="1" t="str">
        <f>HYPERLINK("https://talan.bank.gov.ua/get-user-certificate/J5325xcudw-_4bZYNHOy","Завантажити сертифікат")</f>
        <v>Завантажити сертифікат</v>
      </c>
    </row>
    <row r="2021" spans="1:6" x14ac:dyDescent="0.3">
      <c r="A2021" s="2">
        <v>2020</v>
      </c>
      <c r="B2021" s="1" t="s">
        <v>4296</v>
      </c>
      <c r="C2021" s="1" t="s">
        <v>4279</v>
      </c>
      <c r="D2021" s="1" t="s">
        <v>4280</v>
      </c>
      <c r="E2021" s="1" t="s">
        <v>4297</v>
      </c>
      <c r="F2021" s="1" t="str">
        <f>HYPERLINK("https://talan.bank.gov.ua/get-user-certificate/J5325h54Fjbmyyw4ccn1","Завантажити сертифікат")</f>
        <v>Завантажити сертифікат</v>
      </c>
    </row>
    <row r="2022" spans="1:6" x14ac:dyDescent="0.3">
      <c r="A2022" s="2">
        <v>2021</v>
      </c>
      <c r="B2022" s="1" t="s">
        <v>4298</v>
      </c>
      <c r="C2022" s="1" t="s">
        <v>4279</v>
      </c>
      <c r="D2022" s="1" t="s">
        <v>4280</v>
      </c>
      <c r="E2022" s="1" t="s">
        <v>4299</v>
      </c>
      <c r="F2022" s="1" t="str">
        <f>HYPERLINK("https://talan.bank.gov.ua/get-user-certificate/J5325QzaNRtNtbWaoMsG","Завантажити сертифікат")</f>
        <v>Завантажити сертифікат</v>
      </c>
    </row>
    <row r="2023" spans="1:6" x14ac:dyDescent="0.3">
      <c r="A2023" s="2">
        <v>2022</v>
      </c>
      <c r="B2023" s="1" t="s">
        <v>4300</v>
      </c>
      <c r="C2023" s="1" t="s">
        <v>4279</v>
      </c>
      <c r="D2023" s="1" t="s">
        <v>4280</v>
      </c>
      <c r="E2023" s="1" t="s">
        <v>4301</v>
      </c>
      <c r="F2023" s="1" t="str">
        <f>HYPERLINK("https://talan.bank.gov.ua/get-user-certificate/J53258Y4rAUilgwT08x3","Завантажити сертифікат")</f>
        <v>Завантажити сертифікат</v>
      </c>
    </row>
    <row r="2024" spans="1:6" x14ac:dyDescent="0.3">
      <c r="A2024" s="2">
        <v>2023</v>
      </c>
      <c r="B2024" s="1" t="s">
        <v>4302</v>
      </c>
      <c r="C2024" s="1" t="s">
        <v>4279</v>
      </c>
      <c r="D2024" s="1" t="s">
        <v>4280</v>
      </c>
      <c r="E2024" s="1" t="s">
        <v>4303</v>
      </c>
      <c r="F2024" s="1" t="str">
        <f>HYPERLINK("https://talan.bank.gov.ua/get-user-certificate/J5325OAULueEFZ25DtLG","Завантажити сертифікат")</f>
        <v>Завантажити сертифікат</v>
      </c>
    </row>
    <row r="2025" spans="1:6" x14ac:dyDescent="0.3">
      <c r="A2025" s="2">
        <v>2024</v>
      </c>
      <c r="B2025" s="1" t="s">
        <v>4304</v>
      </c>
      <c r="C2025" s="1" t="s">
        <v>4279</v>
      </c>
      <c r="D2025" s="1" t="s">
        <v>4280</v>
      </c>
      <c r="E2025" s="1" t="s">
        <v>4305</v>
      </c>
      <c r="F2025" s="1" t="str">
        <f>HYPERLINK("https://talan.bank.gov.ua/get-user-certificate/J53255Th_UtDh4pUv4Td","Завантажити сертифікат")</f>
        <v>Завантажити сертифікат</v>
      </c>
    </row>
    <row r="2026" spans="1:6" x14ac:dyDescent="0.3">
      <c r="A2026" s="2">
        <v>2025</v>
      </c>
      <c r="B2026" s="1" t="s">
        <v>4306</v>
      </c>
      <c r="C2026" s="1" t="s">
        <v>4279</v>
      </c>
      <c r="D2026" s="1" t="s">
        <v>4280</v>
      </c>
      <c r="E2026" s="1" t="s">
        <v>4307</v>
      </c>
      <c r="F2026" s="1" t="str">
        <f>HYPERLINK("https://talan.bank.gov.ua/get-user-certificate/J5325_R_ccyM4Mtt0Xu2","Завантажити сертифікат")</f>
        <v>Завантажити сертифікат</v>
      </c>
    </row>
    <row r="2027" spans="1:6" x14ac:dyDescent="0.3">
      <c r="A2027" s="2">
        <v>2026</v>
      </c>
      <c r="B2027" s="1" t="s">
        <v>4308</v>
      </c>
      <c r="C2027" s="1" t="s">
        <v>4279</v>
      </c>
      <c r="D2027" s="1" t="s">
        <v>4280</v>
      </c>
      <c r="E2027" s="1" t="s">
        <v>4309</v>
      </c>
      <c r="F2027" s="1" t="str">
        <f>HYPERLINK("https://talan.bank.gov.ua/get-user-certificate/J53250u9PltxJqYsJkJU","Завантажити сертифікат")</f>
        <v>Завантажити сертифікат</v>
      </c>
    </row>
    <row r="2028" spans="1:6" x14ac:dyDescent="0.3">
      <c r="A2028" s="2">
        <v>2027</v>
      </c>
      <c r="B2028" s="1" t="s">
        <v>4310</v>
      </c>
      <c r="C2028" s="1" t="s">
        <v>4279</v>
      </c>
      <c r="D2028" s="1" t="s">
        <v>4280</v>
      </c>
      <c r="E2028" s="1" t="s">
        <v>4311</v>
      </c>
      <c r="F2028" s="1" t="str">
        <f>HYPERLINK("https://talan.bank.gov.ua/get-user-certificate/J5325_7XjU2JrH0WLCyp","Завантажити сертифікат")</f>
        <v>Завантажити сертифікат</v>
      </c>
    </row>
    <row r="2029" spans="1:6" x14ac:dyDescent="0.3">
      <c r="A2029" s="2">
        <v>2028</v>
      </c>
      <c r="B2029" s="1" t="s">
        <v>4312</v>
      </c>
      <c r="C2029" s="1" t="s">
        <v>4279</v>
      </c>
      <c r="D2029" s="1" t="s">
        <v>4280</v>
      </c>
      <c r="E2029" s="1" t="s">
        <v>4313</v>
      </c>
      <c r="F2029" s="1" t="str">
        <f>HYPERLINK("https://talan.bank.gov.ua/get-user-certificate/J5325ngogi-E9I-Vacaj","Завантажити сертифікат")</f>
        <v>Завантажити сертифікат</v>
      </c>
    </row>
    <row r="2030" spans="1:6" x14ac:dyDescent="0.3">
      <c r="A2030" s="2">
        <v>2029</v>
      </c>
      <c r="B2030" s="1" t="s">
        <v>4314</v>
      </c>
      <c r="C2030" s="1" t="s">
        <v>4279</v>
      </c>
      <c r="D2030" s="1" t="s">
        <v>4280</v>
      </c>
      <c r="E2030" s="1" t="s">
        <v>4315</v>
      </c>
      <c r="F2030" s="1" t="str">
        <f>HYPERLINK("https://talan.bank.gov.ua/get-user-certificate/J5325i3dCbPOZjbMpmXi","Завантажити сертифікат")</f>
        <v>Завантажити сертифікат</v>
      </c>
    </row>
    <row r="2031" spans="1:6" ht="28.8" x14ac:dyDescent="0.3">
      <c r="A2031" s="2">
        <v>2030</v>
      </c>
      <c r="B2031" s="1" t="s">
        <v>4316</v>
      </c>
      <c r="C2031" s="1" t="s">
        <v>4317</v>
      </c>
      <c r="D2031" s="1" t="s">
        <v>4318</v>
      </c>
      <c r="E2031" s="1" t="s">
        <v>4319</v>
      </c>
      <c r="F2031" s="1" t="str">
        <f>HYPERLINK("https://talan.bank.gov.ua/get-user-certificate/J5325W5QL9QZ5szC22CX","Завантажити сертифікат")</f>
        <v>Завантажити сертифікат</v>
      </c>
    </row>
    <row r="2032" spans="1:6" x14ac:dyDescent="0.3">
      <c r="A2032" s="2">
        <v>2031</v>
      </c>
      <c r="B2032" s="1" t="s">
        <v>4320</v>
      </c>
      <c r="C2032" s="1" t="s">
        <v>4321</v>
      </c>
      <c r="D2032" s="1" t="s">
        <v>4322</v>
      </c>
      <c r="E2032" s="1" t="s">
        <v>4323</v>
      </c>
      <c r="F2032" s="1" t="str">
        <f>HYPERLINK("https://talan.bank.gov.ua/get-user-certificate/J5325oRW7H_l34dewAMv","Завантажити сертифікат")</f>
        <v>Завантажити сертифікат</v>
      </c>
    </row>
    <row r="2033" spans="1:6" x14ac:dyDescent="0.3">
      <c r="A2033" s="2">
        <v>2032</v>
      </c>
      <c r="B2033" s="1" t="s">
        <v>4324</v>
      </c>
      <c r="C2033" s="1" t="s">
        <v>4321</v>
      </c>
      <c r="D2033" s="1" t="s">
        <v>4322</v>
      </c>
      <c r="E2033" s="1" t="s">
        <v>4325</v>
      </c>
      <c r="F2033" s="1" t="str">
        <f>HYPERLINK("https://talan.bank.gov.ua/get-user-certificate/J5325MlFCo32LKtNZXKZ","Завантажити сертифікат")</f>
        <v>Завантажити сертифікат</v>
      </c>
    </row>
    <row r="2034" spans="1:6" ht="28.8" x14ac:dyDescent="0.3">
      <c r="A2034" s="2">
        <v>2033</v>
      </c>
      <c r="B2034" s="1" t="s">
        <v>4326</v>
      </c>
      <c r="C2034" s="1" t="s">
        <v>4321</v>
      </c>
      <c r="D2034" s="1" t="s">
        <v>4322</v>
      </c>
      <c r="E2034" s="1" t="s">
        <v>4327</v>
      </c>
      <c r="F2034" s="1" t="str">
        <f>HYPERLINK("https://talan.bank.gov.ua/get-user-certificate/J53250jQBOR7LIBtbCyS","Завантажити сертифікат")</f>
        <v>Завантажити сертифікат</v>
      </c>
    </row>
    <row r="2035" spans="1:6" ht="28.8" x14ac:dyDescent="0.3">
      <c r="A2035" s="2">
        <v>2034</v>
      </c>
      <c r="B2035" s="1" t="s">
        <v>4328</v>
      </c>
      <c r="C2035" s="1" t="s">
        <v>4329</v>
      </c>
      <c r="D2035" s="1" t="s">
        <v>4330</v>
      </c>
      <c r="E2035" s="1" t="s">
        <v>4331</v>
      </c>
      <c r="F2035" s="1" t="str">
        <f>HYPERLINK("https://talan.bank.gov.ua/get-user-certificate/J5325lP1Mf-cWeUVIZS3","Завантажити сертифікат")</f>
        <v>Завантажити сертифікат</v>
      </c>
    </row>
    <row r="2036" spans="1:6" ht="28.8" x14ac:dyDescent="0.3">
      <c r="A2036" s="2">
        <v>2035</v>
      </c>
      <c r="B2036" s="1" t="s">
        <v>4332</v>
      </c>
      <c r="C2036" s="1" t="s">
        <v>4329</v>
      </c>
      <c r="D2036" s="1" t="s">
        <v>4330</v>
      </c>
      <c r="E2036" s="1" t="s">
        <v>4333</v>
      </c>
      <c r="F2036" s="1" t="str">
        <f>HYPERLINK("https://talan.bank.gov.ua/get-user-certificate/J5325X-2sCU8zKzrs2uF","Завантажити сертифікат")</f>
        <v>Завантажити сертифікат</v>
      </c>
    </row>
    <row r="2037" spans="1:6" ht="28.8" x14ac:dyDescent="0.3">
      <c r="A2037" s="2">
        <v>2036</v>
      </c>
      <c r="B2037" s="1" t="s">
        <v>4334</v>
      </c>
      <c r="C2037" s="1" t="s">
        <v>4329</v>
      </c>
      <c r="D2037" s="1" t="s">
        <v>4330</v>
      </c>
      <c r="E2037" s="1" t="s">
        <v>4335</v>
      </c>
      <c r="F2037" s="1" t="str">
        <f>HYPERLINK("https://talan.bank.gov.ua/get-user-certificate/J53257iKwaYHDFR3MCLb","Завантажити сертифікат")</f>
        <v>Завантажити сертифікат</v>
      </c>
    </row>
    <row r="2038" spans="1:6" ht="28.8" x14ac:dyDescent="0.3">
      <c r="A2038" s="2">
        <v>2037</v>
      </c>
      <c r="B2038" s="1" t="s">
        <v>4336</v>
      </c>
      <c r="C2038" s="1" t="s">
        <v>4329</v>
      </c>
      <c r="D2038" s="1" t="s">
        <v>4330</v>
      </c>
      <c r="E2038" s="1" t="s">
        <v>4337</v>
      </c>
      <c r="F2038" s="1" t="str">
        <f>HYPERLINK("https://talan.bank.gov.ua/get-user-certificate/J5325LPLzu6VPA4J4rmL","Завантажити сертифікат")</f>
        <v>Завантажити сертифікат</v>
      </c>
    </row>
    <row r="2039" spans="1:6" ht="28.8" x14ac:dyDescent="0.3">
      <c r="A2039" s="2">
        <v>2038</v>
      </c>
      <c r="B2039" s="1" t="s">
        <v>4338</v>
      </c>
      <c r="C2039" s="1" t="s">
        <v>4329</v>
      </c>
      <c r="D2039" s="1" t="s">
        <v>4330</v>
      </c>
      <c r="E2039" s="1" t="s">
        <v>4339</v>
      </c>
      <c r="F2039" s="1" t="str">
        <f>HYPERLINK("https://talan.bank.gov.ua/get-user-certificate/J5325YF4iJ_HvCb15c3O","Завантажити сертифікат")</f>
        <v>Завантажити сертифікат</v>
      </c>
    </row>
    <row r="2040" spans="1:6" ht="28.8" x14ac:dyDescent="0.3">
      <c r="A2040" s="2">
        <v>2039</v>
      </c>
      <c r="B2040" s="1" t="s">
        <v>4340</v>
      </c>
      <c r="C2040" s="1" t="s">
        <v>4329</v>
      </c>
      <c r="D2040" s="1" t="s">
        <v>4330</v>
      </c>
      <c r="E2040" s="1" t="s">
        <v>4341</v>
      </c>
      <c r="F2040" s="1" t="str">
        <f>HYPERLINK("https://talan.bank.gov.ua/get-user-certificate/J5325wsJVFb6bwVILBDY","Завантажити сертифікат")</f>
        <v>Завантажити сертифікат</v>
      </c>
    </row>
    <row r="2041" spans="1:6" ht="28.8" x14ac:dyDescent="0.3">
      <c r="A2041" s="2">
        <v>2040</v>
      </c>
      <c r="B2041" s="1" t="s">
        <v>4342</v>
      </c>
      <c r="C2041" s="1" t="s">
        <v>4329</v>
      </c>
      <c r="D2041" s="1" t="s">
        <v>4330</v>
      </c>
      <c r="E2041" s="1" t="s">
        <v>4343</v>
      </c>
      <c r="F2041" s="1" t="str">
        <f>HYPERLINK("https://talan.bank.gov.ua/get-user-certificate/J5325JkxBfzceMeG4C_b","Завантажити сертифікат")</f>
        <v>Завантажити сертифікат</v>
      </c>
    </row>
    <row r="2042" spans="1:6" ht="28.8" x14ac:dyDescent="0.3">
      <c r="A2042" s="2">
        <v>2041</v>
      </c>
      <c r="B2042" s="1" t="s">
        <v>4344</v>
      </c>
      <c r="C2042" s="1" t="s">
        <v>4329</v>
      </c>
      <c r="D2042" s="1" t="s">
        <v>4330</v>
      </c>
      <c r="E2042" s="1" t="s">
        <v>4345</v>
      </c>
      <c r="F2042" s="1" t="str">
        <f>HYPERLINK("https://talan.bank.gov.ua/get-user-certificate/J5325A8EKlI7B9K1ruYb","Завантажити сертифікат")</f>
        <v>Завантажити сертифікат</v>
      </c>
    </row>
    <row r="2043" spans="1:6" ht="28.8" x14ac:dyDescent="0.3">
      <c r="A2043" s="2">
        <v>2042</v>
      </c>
      <c r="B2043" s="1" t="s">
        <v>4346</v>
      </c>
      <c r="C2043" s="1" t="s">
        <v>4329</v>
      </c>
      <c r="D2043" s="1" t="s">
        <v>4330</v>
      </c>
      <c r="E2043" s="1" t="s">
        <v>4347</v>
      </c>
      <c r="F2043" s="1" t="str">
        <f>HYPERLINK("https://talan.bank.gov.ua/get-user-certificate/J53252444o1jMeZdmbaB","Завантажити сертифікат")</f>
        <v>Завантажити сертифікат</v>
      </c>
    </row>
    <row r="2044" spans="1:6" ht="28.8" x14ac:dyDescent="0.3">
      <c r="A2044" s="2">
        <v>2043</v>
      </c>
      <c r="B2044" s="1" t="s">
        <v>4348</v>
      </c>
      <c r="C2044" s="1" t="s">
        <v>4329</v>
      </c>
      <c r="D2044" s="1" t="s">
        <v>4330</v>
      </c>
      <c r="E2044" s="1" t="s">
        <v>4349</v>
      </c>
      <c r="F2044" s="1" t="str">
        <f>HYPERLINK("https://talan.bank.gov.ua/get-user-certificate/J5325woTG408bjWBDi6n","Завантажити сертифікат")</f>
        <v>Завантажити сертифікат</v>
      </c>
    </row>
    <row r="2045" spans="1:6" ht="28.8" x14ac:dyDescent="0.3">
      <c r="A2045" s="2">
        <v>2044</v>
      </c>
      <c r="B2045" s="1" t="s">
        <v>4350</v>
      </c>
      <c r="C2045" s="1" t="s">
        <v>4329</v>
      </c>
      <c r="D2045" s="1" t="s">
        <v>4330</v>
      </c>
      <c r="E2045" s="1" t="s">
        <v>4351</v>
      </c>
      <c r="F2045" s="1" t="str">
        <f>HYPERLINK("https://talan.bank.gov.ua/get-user-certificate/J5325qwN3bvYDrl0Nj0h","Завантажити сертифікат")</f>
        <v>Завантажити сертифікат</v>
      </c>
    </row>
    <row r="2046" spans="1:6" ht="28.8" x14ac:dyDescent="0.3">
      <c r="A2046" s="2">
        <v>2045</v>
      </c>
      <c r="B2046" s="1" t="s">
        <v>4352</v>
      </c>
      <c r="C2046" s="1" t="s">
        <v>4329</v>
      </c>
      <c r="D2046" s="1" t="s">
        <v>4330</v>
      </c>
      <c r="E2046" s="1" t="s">
        <v>4353</v>
      </c>
      <c r="F2046" s="1" t="str">
        <f>HYPERLINK("https://talan.bank.gov.ua/get-user-certificate/J5325qQDsUYCNy2cwJaC","Завантажити сертифікат")</f>
        <v>Завантажити сертифікат</v>
      </c>
    </row>
    <row r="2047" spans="1:6" ht="28.8" x14ac:dyDescent="0.3">
      <c r="A2047" s="2">
        <v>2046</v>
      </c>
      <c r="B2047" s="1" t="s">
        <v>4354</v>
      </c>
      <c r="C2047" s="1" t="s">
        <v>4329</v>
      </c>
      <c r="D2047" s="1" t="s">
        <v>4330</v>
      </c>
      <c r="E2047" s="1" t="s">
        <v>4355</v>
      </c>
      <c r="F2047" s="1" t="str">
        <f>HYPERLINK("https://talan.bank.gov.ua/get-user-certificate/J5325SEI2NhA8fjZBdYP","Завантажити сертифікат")</f>
        <v>Завантажити сертифікат</v>
      </c>
    </row>
    <row r="2048" spans="1:6" ht="28.8" x14ac:dyDescent="0.3">
      <c r="A2048" s="2">
        <v>2047</v>
      </c>
      <c r="B2048" s="1" t="s">
        <v>4356</v>
      </c>
      <c r="C2048" s="1" t="s">
        <v>4329</v>
      </c>
      <c r="D2048" s="1" t="s">
        <v>4330</v>
      </c>
      <c r="E2048" s="1" t="s">
        <v>4357</v>
      </c>
      <c r="F2048" s="1" t="str">
        <f>HYPERLINK("https://talan.bank.gov.ua/get-user-certificate/J5325Au_xjXMSKQgvch4","Завантажити сертифікат")</f>
        <v>Завантажити сертифікат</v>
      </c>
    </row>
    <row r="2049" spans="1:6" ht="28.8" x14ac:dyDescent="0.3">
      <c r="A2049" s="2">
        <v>2048</v>
      </c>
      <c r="B2049" s="1" t="s">
        <v>4358</v>
      </c>
      <c r="C2049" s="1" t="s">
        <v>4329</v>
      </c>
      <c r="D2049" s="1" t="s">
        <v>4330</v>
      </c>
      <c r="E2049" s="1" t="s">
        <v>4359</v>
      </c>
      <c r="F2049" s="1" t="str">
        <f>HYPERLINK("https://talan.bank.gov.ua/get-user-certificate/J5325hL2R5hXRTYn0Gim","Завантажити сертифікат")</f>
        <v>Завантажити сертифікат</v>
      </c>
    </row>
    <row r="2050" spans="1:6" ht="28.8" x14ac:dyDescent="0.3">
      <c r="A2050" s="2">
        <v>2049</v>
      </c>
      <c r="B2050" s="1" t="s">
        <v>4360</v>
      </c>
      <c r="C2050" s="1" t="s">
        <v>4329</v>
      </c>
      <c r="D2050" s="1" t="s">
        <v>4330</v>
      </c>
      <c r="E2050" s="1" t="s">
        <v>4361</v>
      </c>
      <c r="F2050" s="1" t="str">
        <f>HYPERLINK("https://talan.bank.gov.ua/get-user-certificate/J5325JjEVQPqQ3att4J_","Завантажити сертифікат")</f>
        <v>Завантажити сертифікат</v>
      </c>
    </row>
    <row r="2051" spans="1:6" ht="28.8" x14ac:dyDescent="0.3">
      <c r="A2051" s="2">
        <v>2050</v>
      </c>
      <c r="B2051" s="1" t="s">
        <v>4362</v>
      </c>
      <c r="C2051" s="1" t="s">
        <v>4329</v>
      </c>
      <c r="D2051" s="1" t="s">
        <v>4330</v>
      </c>
      <c r="E2051" s="1" t="s">
        <v>4363</v>
      </c>
      <c r="F2051" s="1" t="str">
        <f>HYPERLINK("https://talan.bank.gov.ua/get-user-certificate/J532576hiUxk34fuj_Fm","Завантажити сертифікат")</f>
        <v>Завантажити сертифікат</v>
      </c>
    </row>
    <row r="2052" spans="1:6" ht="28.8" x14ac:dyDescent="0.3">
      <c r="A2052" s="2">
        <v>2051</v>
      </c>
      <c r="B2052" s="1" t="s">
        <v>4364</v>
      </c>
      <c r="C2052" s="1" t="s">
        <v>4329</v>
      </c>
      <c r="D2052" s="1" t="s">
        <v>4330</v>
      </c>
      <c r="E2052" s="1" t="s">
        <v>4365</v>
      </c>
      <c r="F2052" s="1" t="str">
        <f>HYPERLINK("https://talan.bank.gov.ua/get-user-certificate/J5325aZAYT5rDSQzOTJm","Завантажити сертифікат")</f>
        <v>Завантажити сертифікат</v>
      </c>
    </row>
    <row r="2053" spans="1:6" ht="28.8" x14ac:dyDescent="0.3">
      <c r="A2053" s="2">
        <v>2052</v>
      </c>
      <c r="B2053" s="1" t="s">
        <v>4366</v>
      </c>
      <c r="C2053" s="1" t="s">
        <v>4329</v>
      </c>
      <c r="D2053" s="1" t="s">
        <v>4330</v>
      </c>
      <c r="E2053" s="1" t="s">
        <v>4367</v>
      </c>
      <c r="F2053" s="1" t="str">
        <f>HYPERLINK("https://talan.bank.gov.ua/get-user-certificate/J5325qcqEHAHs18B4HBG","Завантажити сертифікат")</f>
        <v>Завантажити сертифікат</v>
      </c>
    </row>
    <row r="2054" spans="1:6" ht="28.8" x14ac:dyDescent="0.3">
      <c r="A2054" s="2">
        <v>2053</v>
      </c>
      <c r="B2054" s="1" t="s">
        <v>4368</v>
      </c>
      <c r="C2054" s="1" t="s">
        <v>4329</v>
      </c>
      <c r="D2054" s="1" t="s">
        <v>4330</v>
      </c>
      <c r="E2054" s="1" t="s">
        <v>4369</v>
      </c>
      <c r="F2054" s="1" t="str">
        <f>HYPERLINK("https://talan.bank.gov.ua/get-user-certificate/J53258OTkTylxY4eYv3t","Завантажити сертифікат")</f>
        <v>Завантажити сертифікат</v>
      </c>
    </row>
    <row r="2055" spans="1:6" ht="28.8" x14ac:dyDescent="0.3">
      <c r="A2055" s="2">
        <v>2054</v>
      </c>
      <c r="B2055" s="1" t="s">
        <v>4370</v>
      </c>
      <c r="C2055" s="1" t="s">
        <v>4329</v>
      </c>
      <c r="D2055" s="1" t="s">
        <v>4330</v>
      </c>
      <c r="E2055" s="1" t="s">
        <v>4371</v>
      </c>
      <c r="F2055" s="1" t="str">
        <f>HYPERLINK("https://talan.bank.gov.ua/get-user-certificate/J5325A30-u22kyaDDwyt","Завантажити сертифікат")</f>
        <v>Завантажити сертифікат</v>
      </c>
    </row>
    <row r="2056" spans="1:6" ht="28.8" x14ac:dyDescent="0.3">
      <c r="A2056" s="2">
        <v>2055</v>
      </c>
      <c r="B2056" s="1" t="s">
        <v>4372</v>
      </c>
      <c r="C2056" s="1" t="s">
        <v>4329</v>
      </c>
      <c r="D2056" s="1" t="s">
        <v>4330</v>
      </c>
      <c r="E2056" s="1" t="s">
        <v>4373</v>
      </c>
      <c r="F2056" s="1" t="str">
        <f>HYPERLINK("https://talan.bank.gov.ua/get-user-certificate/J5325MPt0HuBKj6Yhcwk","Завантажити сертифікат")</f>
        <v>Завантажити сертифікат</v>
      </c>
    </row>
    <row r="2057" spans="1:6" ht="28.8" x14ac:dyDescent="0.3">
      <c r="A2057" s="2">
        <v>2056</v>
      </c>
      <c r="B2057" s="1" t="s">
        <v>4374</v>
      </c>
      <c r="C2057" s="1" t="s">
        <v>4329</v>
      </c>
      <c r="D2057" s="1" t="s">
        <v>4330</v>
      </c>
      <c r="E2057" s="1" t="s">
        <v>4375</v>
      </c>
      <c r="F2057" s="1" t="str">
        <f>HYPERLINK("https://talan.bank.gov.ua/get-user-certificate/J53255I6JiCFwDdwM6mZ","Завантажити сертифікат")</f>
        <v>Завантажити сертифікат</v>
      </c>
    </row>
    <row r="2058" spans="1:6" ht="28.8" x14ac:dyDescent="0.3">
      <c r="A2058" s="2">
        <v>2057</v>
      </c>
      <c r="B2058" s="1" t="s">
        <v>4376</v>
      </c>
      <c r="C2058" s="1" t="s">
        <v>4329</v>
      </c>
      <c r="D2058" s="1" t="s">
        <v>4330</v>
      </c>
      <c r="E2058" s="1" t="s">
        <v>4377</v>
      </c>
      <c r="F2058" s="1" t="str">
        <f>HYPERLINK("https://talan.bank.gov.ua/get-user-certificate/J5325XG4SdAKvBZQqLCp","Завантажити сертифікат")</f>
        <v>Завантажити сертифікат</v>
      </c>
    </row>
    <row r="2059" spans="1:6" ht="28.8" x14ac:dyDescent="0.3">
      <c r="A2059" s="2">
        <v>2058</v>
      </c>
      <c r="B2059" s="1" t="s">
        <v>4378</v>
      </c>
      <c r="C2059" s="1" t="s">
        <v>4329</v>
      </c>
      <c r="D2059" s="1" t="s">
        <v>4330</v>
      </c>
      <c r="E2059" s="1" t="s">
        <v>4379</v>
      </c>
      <c r="F2059" s="1" t="str">
        <f>HYPERLINK("https://talan.bank.gov.ua/get-user-certificate/J53256UuY8zrswnv6xg7","Завантажити сертифікат")</f>
        <v>Завантажити сертифікат</v>
      </c>
    </row>
    <row r="2060" spans="1:6" ht="28.8" x14ac:dyDescent="0.3">
      <c r="A2060" s="2">
        <v>2059</v>
      </c>
      <c r="B2060" s="1" t="s">
        <v>4380</v>
      </c>
      <c r="C2060" s="1" t="s">
        <v>4329</v>
      </c>
      <c r="D2060" s="1" t="s">
        <v>4330</v>
      </c>
      <c r="E2060" s="1" t="s">
        <v>4381</v>
      </c>
      <c r="F2060" s="1" t="str">
        <f>HYPERLINK("https://talan.bank.gov.ua/get-user-certificate/J53255rC8o8-ngZignW8","Завантажити сертифікат")</f>
        <v>Завантажити сертифікат</v>
      </c>
    </row>
    <row r="2061" spans="1:6" ht="28.8" x14ac:dyDescent="0.3">
      <c r="A2061" s="2">
        <v>2060</v>
      </c>
      <c r="B2061" s="1" t="s">
        <v>4382</v>
      </c>
      <c r="C2061" s="1" t="s">
        <v>4329</v>
      </c>
      <c r="D2061" s="1" t="s">
        <v>4330</v>
      </c>
      <c r="E2061" s="1" t="s">
        <v>4383</v>
      </c>
      <c r="F2061" s="1" t="str">
        <f>HYPERLINK("https://talan.bank.gov.ua/get-user-certificate/J5325DGa6XKPq0cyodON","Завантажити сертифікат")</f>
        <v>Завантажити сертифікат</v>
      </c>
    </row>
    <row r="2062" spans="1:6" ht="28.8" x14ac:dyDescent="0.3">
      <c r="A2062" s="2">
        <v>2061</v>
      </c>
      <c r="B2062" s="1" t="s">
        <v>4384</v>
      </c>
      <c r="C2062" s="1" t="s">
        <v>4329</v>
      </c>
      <c r="D2062" s="1" t="s">
        <v>4330</v>
      </c>
      <c r="E2062" s="1" t="s">
        <v>4385</v>
      </c>
      <c r="F2062" s="1" t="str">
        <f>HYPERLINK("https://talan.bank.gov.ua/get-user-certificate/J5325NZ6Zhve9h7weadD","Завантажити сертифікат")</f>
        <v>Завантажити сертифікат</v>
      </c>
    </row>
    <row r="2063" spans="1:6" x14ac:dyDescent="0.3">
      <c r="A2063" s="2">
        <v>2062</v>
      </c>
      <c r="B2063" s="1" t="s">
        <v>4386</v>
      </c>
      <c r="C2063" s="1" t="s">
        <v>4387</v>
      </c>
      <c r="D2063" s="1" t="s">
        <v>4388</v>
      </c>
      <c r="E2063" s="1" t="s">
        <v>4389</v>
      </c>
      <c r="F2063" s="1" t="str">
        <f>HYPERLINK("https://talan.bank.gov.ua/get-user-certificate/J5325J1rFLBLr5hsEMHd","Завантажити сертифікат")</f>
        <v>Завантажити сертифікат</v>
      </c>
    </row>
    <row r="2064" spans="1:6" x14ac:dyDescent="0.3">
      <c r="A2064" s="2">
        <v>2063</v>
      </c>
      <c r="B2064" s="1" t="s">
        <v>4390</v>
      </c>
      <c r="C2064" s="1" t="s">
        <v>4387</v>
      </c>
      <c r="D2064" s="1" t="s">
        <v>4388</v>
      </c>
      <c r="E2064" s="1" t="s">
        <v>4391</v>
      </c>
      <c r="F2064" s="1" t="str">
        <f>HYPERLINK("https://talan.bank.gov.ua/get-user-certificate/J5325rSYfnwLpB_57dgU","Завантажити сертифікат")</f>
        <v>Завантажити сертифікат</v>
      </c>
    </row>
    <row r="2065" spans="1:6" x14ac:dyDescent="0.3">
      <c r="A2065" s="2">
        <v>2064</v>
      </c>
      <c r="B2065" s="1" t="s">
        <v>4392</v>
      </c>
      <c r="C2065" s="1" t="s">
        <v>4387</v>
      </c>
      <c r="D2065" s="1" t="s">
        <v>4388</v>
      </c>
      <c r="E2065" s="1" t="s">
        <v>4393</v>
      </c>
      <c r="F2065" s="1" t="str">
        <f>HYPERLINK("https://talan.bank.gov.ua/get-user-certificate/J53255Jynp7aAx7t6elV","Завантажити сертифікат")</f>
        <v>Завантажити сертифікат</v>
      </c>
    </row>
    <row r="2066" spans="1:6" ht="28.8" x14ac:dyDescent="0.3">
      <c r="A2066" s="2">
        <v>2065</v>
      </c>
      <c r="B2066" s="1" t="s">
        <v>4394</v>
      </c>
      <c r="C2066" s="1" t="s">
        <v>4387</v>
      </c>
      <c r="D2066" s="1" t="s">
        <v>4388</v>
      </c>
      <c r="E2066" s="1" t="s">
        <v>4395</v>
      </c>
      <c r="F2066" s="1" t="str">
        <f>HYPERLINK("https://talan.bank.gov.ua/get-user-certificate/J5325ATz6EhTEtF1sz1q","Завантажити сертифікат")</f>
        <v>Завантажити сертифікат</v>
      </c>
    </row>
    <row r="2067" spans="1:6" x14ac:dyDescent="0.3">
      <c r="A2067" s="2">
        <v>2066</v>
      </c>
      <c r="B2067" s="1" t="s">
        <v>4396</v>
      </c>
      <c r="C2067" s="1" t="s">
        <v>4387</v>
      </c>
      <c r="D2067" s="1" t="s">
        <v>4388</v>
      </c>
      <c r="E2067" s="1" t="s">
        <v>4397</v>
      </c>
      <c r="F2067" s="1" t="str">
        <f>HYPERLINK("https://talan.bank.gov.ua/get-user-certificate/J5325qsgGdDi3YyJb3nk","Завантажити сертифікат")</f>
        <v>Завантажити сертифікат</v>
      </c>
    </row>
    <row r="2068" spans="1:6" x14ac:dyDescent="0.3">
      <c r="A2068" s="2">
        <v>2067</v>
      </c>
      <c r="B2068" s="1" t="s">
        <v>4398</v>
      </c>
      <c r="C2068" s="1" t="s">
        <v>4387</v>
      </c>
      <c r="D2068" s="1" t="s">
        <v>4388</v>
      </c>
      <c r="E2068" s="1" t="s">
        <v>4399</v>
      </c>
      <c r="F2068" s="1" t="str">
        <f>HYPERLINK("https://talan.bank.gov.ua/get-user-certificate/J53254AQWgj4qgPbtANr","Завантажити сертифікат")</f>
        <v>Завантажити сертифікат</v>
      </c>
    </row>
    <row r="2069" spans="1:6" x14ac:dyDescent="0.3">
      <c r="A2069" s="2">
        <v>2068</v>
      </c>
      <c r="B2069" s="1" t="s">
        <v>4400</v>
      </c>
      <c r="C2069" s="1" t="s">
        <v>4387</v>
      </c>
      <c r="D2069" s="1" t="s">
        <v>4388</v>
      </c>
      <c r="E2069" s="1" t="s">
        <v>4401</v>
      </c>
      <c r="F2069" s="1" t="str">
        <f>HYPERLINK("https://talan.bank.gov.ua/get-user-certificate/J5325JIZtjYK4tkRDpp3","Завантажити сертифікат")</f>
        <v>Завантажити сертифікат</v>
      </c>
    </row>
    <row r="2070" spans="1:6" x14ac:dyDescent="0.3">
      <c r="A2070" s="2">
        <v>2069</v>
      </c>
      <c r="B2070" s="1" t="s">
        <v>4402</v>
      </c>
      <c r="C2070" s="1" t="s">
        <v>4387</v>
      </c>
      <c r="D2070" s="1" t="s">
        <v>4388</v>
      </c>
      <c r="E2070" s="1" t="s">
        <v>4403</v>
      </c>
      <c r="F2070" s="1" t="str">
        <f>HYPERLINK("https://talan.bank.gov.ua/get-user-certificate/J5325MRhEwmXsa6pPdzE","Завантажити сертифікат")</f>
        <v>Завантажити сертифікат</v>
      </c>
    </row>
    <row r="2071" spans="1:6" x14ac:dyDescent="0.3">
      <c r="A2071" s="2">
        <v>2070</v>
      </c>
      <c r="B2071" s="1" t="s">
        <v>4404</v>
      </c>
      <c r="C2071" s="1" t="s">
        <v>4405</v>
      </c>
      <c r="D2071" s="1" t="s">
        <v>4406</v>
      </c>
      <c r="E2071" s="1" t="s">
        <v>4407</v>
      </c>
      <c r="F2071" s="1" t="str">
        <f>HYPERLINK("https://talan.bank.gov.ua/get-user-certificate/J5325ueGgAICD08hX6dZ","Завантажити сертифікат")</f>
        <v>Завантажити сертифікат</v>
      </c>
    </row>
    <row r="2072" spans="1:6" x14ac:dyDescent="0.3">
      <c r="A2072" s="2">
        <v>2071</v>
      </c>
      <c r="B2072" s="1" t="s">
        <v>4408</v>
      </c>
      <c r="C2072" s="1" t="s">
        <v>4405</v>
      </c>
      <c r="D2072" s="1" t="s">
        <v>4406</v>
      </c>
      <c r="E2072" s="1" t="s">
        <v>4409</v>
      </c>
      <c r="F2072" s="1" t="str">
        <f>HYPERLINK("https://talan.bank.gov.ua/get-user-certificate/J5325ipQFl1jA2po258U","Завантажити сертифікат")</f>
        <v>Завантажити сертифікат</v>
      </c>
    </row>
    <row r="2073" spans="1:6" x14ac:dyDescent="0.3">
      <c r="A2073" s="2">
        <v>2072</v>
      </c>
      <c r="B2073" s="1" t="s">
        <v>4410</v>
      </c>
      <c r="C2073" s="1" t="s">
        <v>4405</v>
      </c>
      <c r="D2073" s="1" t="s">
        <v>4406</v>
      </c>
      <c r="E2073" s="1" t="s">
        <v>4411</v>
      </c>
      <c r="F2073" s="1" t="str">
        <f>HYPERLINK("https://talan.bank.gov.ua/get-user-certificate/J5325ZZXTW9C4J3Vymb_","Завантажити сертифікат")</f>
        <v>Завантажити сертифікат</v>
      </c>
    </row>
    <row r="2074" spans="1:6" ht="28.8" x14ac:dyDescent="0.3">
      <c r="A2074" s="2">
        <v>2073</v>
      </c>
      <c r="B2074" s="1" t="s">
        <v>4412</v>
      </c>
      <c r="C2074" s="1" t="s">
        <v>4405</v>
      </c>
      <c r="D2074" s="1" t="s">
        <v>4406</v>
      </c>
      <c r="E2074" s="1" t="s">
        <v>4413</v>
      </c>
      <c r="F2074" s="1" t="str">
        <f>HYPERLINK("https://talan.bank.gov.ua/get-user-certificate/J5325jRHrbY48oBnLhpm","Завантажити сертифікат")</f>
        <v>Завантажити сертифікат</v>
      </c>
    </row>
    <row r="2075" spans="1:6" x14ac:dyDescent="0.3">
      <c r="A2075" s="2">
        <v>2074</v>
      </c>
      <c r="B2075" s="1" t="s">
        <v>4414</v>
      </c>
      <c r="C2075" s="1" t="s">
        <v>4405</v>
      </c>
      <c r="D2075" s="1" t="s">
        <v>4406</v>
      </c>
      <c r="E2075" s="1" t="s">
        <v>4415</v>
      </c>
      <c r="F2075" s="1" t="str">
        <f>HYPERLINK("https://talan.bank.gov.ua/get-user-certificate/J5325HItS2CGbDwnA8d2","Завантажити сертифікат")</f>
        <v>Завантажити сертифікат</v>
      </c>
    </row>
    <row r="2076" spans="1:6" ht="28.8" x14ac:dyDescent="0.3">
      <c r="A2076" s="2">
        <v>2075</v>
      </c>
      <c r="B2076" s="1" t="s">
        <v>4416</v>
      </c>
      <c r="C2076" s="1" t="s">
        <v>4405</v>
      </c>
      <c r="D2076" s="1" t="s">
        <v>4406</v>
      </c>
      <c r="E2076" s="1" t="s">
        <v>4417</v>
      </c>
      <c r="F2076" s="1" t="str">
        <f>HYPERLINK("https://talan.bank.gov.ua/get-user-certificate/J5325-I1LNrka0CrSnrG","Завантажити сертифікат")</f>
        <v>Завантажити сертифікат</v>
      </c>
    </row>
    <row r="2077" spans="1:6" x14ac:dyDescent="0.3">
      <c r="A2077" s="2">
        <v>2076</v>
      </c>
      <c r="B2077" s="1" t="s">
        <v>4418</v>
      </c>
      <c r="C2077" s="1" t="s">
        <v>4405</v>
      </c>
      <c r="D2077" s="1" t="s">
        <v>4406</v>
      </c>
      <c r="E2077" s="1" t="s">
        <v>4419</v>
      </c>
      <c r="F2077" s="1" t="str">
        <f>HYPERLINK("https://talan.bank.gov.ua/get-user-certificate/J5325KzmKCRWOaRI7wLI","Завантажити сертифікат")</f>
        <v>Завантажити сертифікат</v>
      </c>
    </row>
    <row r="2078" spans="1:6" x14ac:dyDescent="0.3">
      <c r="A2078" s="2">
        <v>2077</v>
      </c>
      <c r="B2078" s="1" t="s">
        <v>4420</v>
      </c>
      <c r="C2078" s="1" t="s">
        <v>4405</v>
      </c>
      <c r="D2078" s="1" t="s">
        <v>4406</v>
      </c>
      <c r="E2078" s="1" t="s">
        <v>4421</v>
      </c>
      <c r="F2078" s="1" t="str">
        <f>HYPERLINK("https://talan.bank.gov.ua/get-user-certificate/J5325GFQG_UKpkybOSNB","Завантажити сертифікат")</f>
        <v>Завантажити сертифікат</v>
      </c>
    </row>
    <row r="2079" spans="1:6" x14ac:dyDescent="0.3">
      <c r="A2079" s="2">
        <v>2078</v>
      </c>
      <c r="B2079" s="1" t="s">
        <v>4422</v>
      </c>
      <c r="C2079" s="1" t="s">
        <v>4405</v>
      </c>
      <c r="D2079" s="1" t="s">
        <v>4406</v>
      </c>
      <c r="E2079" s="1" t="s">
        <v>4423</v>
      </c>
      <c r="F2079" s="1" t="str">
        <f>HYPERLINK("https://talan.bank.gov.ua/get-user-certificate/J53255_Qs_yH4FhXi3wy","Завантажити сертифікат")</f>
        <v>Завантажити сертифікат</v>
      </c>
    </row>
    <row r="2080" spans="1:6" x14ac:dyDescent="0.3">
      <c r="A2080" s="2">
        <v>2079</v>
      </c>
      <c r="B2080" s="1" t="s">
        <v>4424</v>
      </c>
      <c r="C2080" s="1" t="s">
        <v>4405</v>
      </c>
      <c r="D2080" s="1" t="s">
        <v>4406</v>
      </c>
      <c r="E2080" s="1" t="s">
        <v>4425</v>
      </c>
      <c r="F2080" s="1" t="str">
        <f>HYPERLINK("https://talan.bank.gov.ua/get-user-certificate/J5325u9N7TNuyuVA9epl","Завантажити сертифікат")</f>
        <v>Завантажити сертифікат</v>
      </c>
    </row>
    <row r="2081" spans="1:6" x14ac:dyDescent="0.3">
      <c r="A2081" s="2">
        <v>2080</v>
      </c>
      <c r="B2081" s="1" t="s">
        <v>4426</v>
      </c>
      <c r="C2081" s="1" t="s">
        <v>4405</v>
      </c>
      <c r="D2081" s="1" t="s">
        <v>4406</v>
      </c>
      <c r="E2081" s="1" t="s">
        <v>4427</v>
      </c>
      <c r="F2081" s="1" t="str">
        <f>HYPERLINK("https://talan.bank.gov.ua/get-user-certificate/J5325whuHwrG6tw7XADF","Завантажити сертифікат")</f>
        <v>Завантажити сертифікат</v>
      </c>
    </row>
    <row r="2082" spans="1:6" x14ac:dyDescent="0.3">
      <c r="A2082" s="2">
        <v>2081</v>
      </c>
      <c r="B2082" s="1" t="s">
        <v>4428</v>
      </c>
      <c r="C2082" s="1" t="s">
        <v>4429</v>
      </c>
      <c r="D2082" s="1" t="s">
        <v>4430</v>
      </c>
      <c r="E2082" s="1" t="s">
        <v>4431</v>
      </c>
      <c r="F2082" s="1" t="str">
        <f>HYPERLINK("https://talan.bank.gov.ua/get-user-certificate/J5325ZGAk_37hqBTDFDY","Завантажити сертифікат")</f>
        <v>Завантажити сертифікат</v>
      </c>
    </row>
    <row r="2083" spans="1:6" x14ac:dyDescent="0.3">
      <c r="A2083" s="2">
        <v>2082</v>
      </c>
      <c r="B2083" s="1" t="s">
        <v>4432</v>
      </c>
      <c r="C2083" s="1" t="s">
        <v>4429</v>
      </c>
      <c r="D2083" s="1" t="s">
        <v>4430</v>
      </c>
      <c r="E2083" s="1" t="s">
        <v>4433</v>
      </c>
      <c r="F2083" s="1" t="str">
        <f>HYPERLINK("https://talan.bank.gov.ua/get-user-certificate/J5325dIgv4ts4W9_Me9h","Завантажити сертифікат")</f>
        <v>Завантажити сертифікат</v>
      </c>
    </row>
    <row r="2084" spans="1:6" x14ac:dyDescent="0.3">
      <c r="A2084" s="2">
        <v>2083</v>
      </c>
      <c r="B2084" s="1" t="s">
        <v>4434</v>
      </c>
      <c r="C2084" s="1" t="s">
        <v>4429</v>
      </c>
      <c r="D2084" s="1" t="s">
        <v>4430</v>
      </c>
      <c r="E2084" s="1" t="s">
        <v>4435</v>
      </c>
      <c r="F2084" s="1" t="str">
        <f>HYPERLINK("https://talan.bank.gov.ua/get-user-certificate/J5325Ll85k9KN2_IeCl6","Завантажити сертифікат")</f>
        <v>Завантажити сертифікат</v>
      </c>
    </row>
    <row r="2085" spans="1:6" x14ac:dyDescent="0.3">
      <c r="A2085" s="2">
        <v>2084</v>
      </c>
      <c r="B2085" s="1" t="s">
        <v>4436</v>
      </c>
      <c r="C2085" s="1" t="s">
        <v>4429</v>
      </c>
      <c r="D2085" s="1" t="s">
        <v>4430</v>
      </c>
      <c r="E2085" s="1" t="s">
        <v>4437</v>
      </c>
      <c r="F2085" s="1" t="str">
        <f>HYPERLINK("https://talan.bank.gov.ua/get-user-certificate/J5325eGQbEEiM1MHLWr8","Завантажити сертифікат")</f>
        <v>Завантажити сертифікат</v>
      </c>
    </row>
    <row r="2086" spans="1:6" x14ac:dyDescent="0.3">
      <c r="A2086" s="2">
        <v>2085</v>
      </c>
      <c r="B2086" s="1" t="s">
        <v>4438</v>
      </c>
      <c r="C2086" s="1" t="s">
        <v>4429</v>
      </c>
      <c r="D2086" s="1" t="s">
        <v>4430</v>
      </c>
      <c r="E2086" s="1" t="s">
        <v>4439</v>
      </c>
      <c r="F2086" s="1" t="str">
        <f>HYPERLINK("https://talan.bank.gov.ua/get-user-certificate/J5325KLI5h2MrW4RkjAY","Завантажити сертифікат")</f>
        <v>Завантажити сертифікат</v>
      </c>
    </row>
    <row r="2087" spans="1:6" x14ac:dyDescent="0.3">
      <c r="A2087" s="2">
        <v>2086</v>
      </c>
      <c r="B2087" s="1" t="s">
        <v>4440</v>
      </c>
      <c r="C2087" s="1" t="s">
        <v>4429</v>
      </c>
      <c r="D2087" s="1" t="s">
        <v>4430</v>
      </c>
      <c r="E2087" s="1" t="s">
        <v>4441</v>
      </c>
      <c r="F2087" s="1" t="str">
        <f>HYPERLINK("https://talan.bank.gov.ua/get-user-certificate/J5325O_veSG677Fgc-t6","Завантажити сертифікат")</f>
        <v>Завантажити сертифікат</v>
      </c>
    </row>
    <row r="2088" spans="1:6" x14ac:dyDescent="0.3">
      <c r="A2088" s="2">
        <v>2087</v>
      </c>
      <c r="B2088" s="1" t="s">
        <v>4442</v>
      </c>
      <c r="C2088" s="1" t="s">
        <v>4429</v>
      </c>
      <c r="D2088" s="1" t="s">
        <v>4430</v>
      </c>
      <c r="E2088" s="1" t="s">
        <v>4443</v>
      </c>
      <c r="F2088" s="1" t="str">
        <f>HYPERLINK("https://talan.bank.gov.ua/get-user-certificate/J5325rORcV1NsfIQeSF7","Завантажити сертифікат")</f>
        <v>Завантажити сертифікат</v>
      </c>
    </row>
    <row r="2089" spans="1:6" x14ac:dyDescent="0.3">
      <c r="A2089" s="2">
        <v>2088</v>
      </c>
      <c r="B2089" s="1" t="s">
        <v>4444</v>
      </c>
      <c r="C2089" s="1" t="s">
        <v>4429</v>
      </c>
      <c r="D2089" s="1" t="s">
        <v>4430</v>
      </c>
      <c r="E2089" s="1" t="s">
        <v>4445</v>
      </c>
      <c r="F2089" s="1" t="str">
        <f>HYPERLINK("https://talan.bank.gov.ua/get-user-certificate/J5325WHDx7hRnuRY9yut","Завантажити сертифікат")</f>
        <v>Завантажити сертифікат</v>
      </c>
    </row>
    <row r="2090" spans="1:6" x14ac:dyDescent="0.3">
      <c r="A2090" s="2">
        <v>2089</v>
      </c>
      <c r="B2090" s="1" t="s">
        <v>4446</v>
      </c>
      <c r="C2090" s="1" t="s">
        <v>4429</v>
      </c>
      <c r="D2090" s="1" t="s">
        <v>4430</v>
      </c>
      <c r="E2090" s="1" t="s">
        <v>4447</v>
      </c>
      <c r="F2090" s="1" t="str">
        <f>HYPERLINK("https://talan.bank.gov.ua/get-user-certificate/J53255WstxP60qzBR8Yy","Завантажити сертифікат")</f>
        <v>Завантажити сертифікат</v>
      </c>
    </row>
    <row r="2091" spans="1:6" x14ac:dyDescent="0.3">
      <c r="A2091" s="2">
        <v>2090</v>
      </c>
      <c r="B2091" s="1" t="s">
        <v>4448</v>
      </c>
      <c r="C2091" s="1" t="s">
        <v>4429</v>
      </c>
      <c r="D2091" s="1" t="s">
        <v>4430</v>
      </c>
      <c r="E2091" s="1" t="s">
        <v>4449</v>
      </c>
      <c r="F2091" s="1" t="str">
        <f>HYPERLINK("https://talan.bank.gov.ua/get-user-certificate/J5325KA-XQPL4mmDrYeV","Завантажити сертифікат")</f>
        <v>Завантажити сертифікат</v>
      </c>
    </row>
    <row r="2092" spans="1:6" x14ac:dyDescent="0.3">
      <c r="A2092" s="2">
        <v>2091</v>
      </c>
      <c r="B2092" s="1" t="s">
        <v>4450</v>
      </c>
      <c r="C2092" s="1" t="s">
        <v>4429</v>
      </c>
      <c r="D2092" s="1" t="s">
        <v>4430</v>
      </c>
      <c r="E2092" s="1" t="s">
        <v>4451</v>
      </c>
      <c r="F2092" s="1" t="str">
        <f>HYPERLINK("https://talan.bank.gov.ua/get-user-certificate/J53256j3wIh-2RYsdgA6","Завантажити сертифікат")</f>
        <v>Завантажити сертифікат</v>
      </c>
    </row>
    <row r="2093" spans="1:6" x14ac:dyDescent="0.3">
      <c r="A2093" s="2">
        <v>2092</v>
      </c>
      <c r="B2093" s="1" t="s">
        <v>4452</v>
      </c>
      <c r="C2093" s="1" t="s">
        <v>4429</v>
      </c>
      <c r="D2093" s="1" t="s">
        <v>4430</v>
      </c>
      <c r="E2093" s="1" t="s">
        <v>4453</v>
      </c>
      <c r="F2093" s="1" t="str">
        <f>HYPERLINK("https://talan.bank.gov.ua/get-user-certificate/J5325UiE2EvLlK4KmlCk","Завантажити сертифікат")</f>
        <v>Завантажити сертифікат</v>
      </c>
    </row>
    <row r="2094" spans="1:6" x14ac:dyDescent="0.3">
      <c r="A2094" s="2">
        <v>2093</v>
      </c>
      <c r="B2094" s="1" t="s">
        <v>4454</v>
      </c>
      <c r="C2094" s="1" t="s">
        <v>4429</v>
      </c>
      <c r="D2094" s="1" t="s">
        <v>4430</v>
      </c>
      <c r="E2094" s="1" t="s">
        <v>4455</v>
      </c>
      <c r="F2094" s="1" t="str">
        <f>HYPERLINK("https://talan.bank.gov.ua/get-user-certificate/J5325X8EAySoMZdG6Xoa","Завантажити сертифікат")</f>
        <v>Завантажити сертифікат</v>
      </c>
    </row>
    <row r="2095" spans="1:6" x14ac:dyDescent="0.3">
      <c r="A2095" s="2">
        <v>2094</v>
      </c>
      <c r="B2095" s="1" t="s">
        <v>4456</v>
      </c>
      <c r="C2095" s="1" t="s">
        <v>4429</v>
      </c>
      <c r="D2095" s="1" t="s">
        <v>4430</v>
      </c>
      <c r="E2095" s="1" t="s">
        <v>4457</v>
      </c>
      <c r="F2095" s="1" t="str">
        <f>HYPERLINK("https://talan.bank.gov.ua/get-user-certificate/J53259CfnrpmnD3UAqc7","Завантажити сертифікат")</f>
        <v>Завантажити сертифікат</v>
      </c>
    </row>
    <row r="2096" spans="1:6" ht="28.8" x14ac:dyDescent="0.3">
      <c r="A2096" s="2">
        <v>2095</v>
      </c>
      <c r="B2096" s="1" t="s">
        <v>4458</v>
      </c>
      <c r="C2096" s="1" t="s">
        <v>4459</v>
      </c>
      <c r="D2096" s="1" t="s">
        <v>4460</v>
      </c>
      <c r="E2096" s="1" t="s">
        <v>4461</v>
      </c>
      <c r="F2096" s="1" t="str">
        <f>HYPERLINK("https://talan.bank.gov.ua/get-user-certificate/J5325WLCD7coB5xCLfXK","Завантажити сертифікат")</f>
        <v>Завантажити сертифікат</v>
      </c>
    </row>
    <row r="2097" spans="1:6" ht="28.8" x14ac:dyDescent="0.3">
      <c r="A2097" s="2">
        <v>2096</v>
      </c>
      <c r="B2097" s="1" t="s">
        <v>4462</v>
      </c>
      <c r="C2097" s="1" t="s">
        <v>4459</v>
      </c>
      <c r="D2097" s="1" t="s">
        <v>4460</v>
      </c>
      <c r="E2097" s="1" t="s">
        <v>4463</v>
      </c>
      <c r="F2097" s="1" t="str">
        <f>HYPERLINK("https://talan.bank.gov.ua/get-user-certificate/J5325V8nMV6j1Aq8xB-A","Завантажити сертифікат")</f>
        <v>Завантажити сертифікат</v>
      </c>
    </row>
    <row r="2098" spans="1:6" ht="28.8" x14ac:dyDescent="0.3">
      <c r="A2098" s="2">
        <v>2097</v>
      </c>
      <c r="B2098" s="1" t="s">
        <v>4464</v>
      </c>
      <c r="C2098" s="1" t="s">
        <v>4459</v>
      </c>
      <c r="D2098" s="1" t="s">
        <v>4460</v>
      </c>
      <c r="E2098" s="1" t="s">
        <v>4465</v>
      </c>
      <c r="F2098" s="1" t="str">
        <f>HYPERLINK("https://talan.bank.gov.ua/get-user-certificate/J5325EHN-ujBpgRJIU7J","Завантажити сертифікат")</f>
        <v>Завантажити сертифікат</v>
      </c>
    </row>
    <row r="2099" spans="1:6" ht="28.8" x14ac:dyDescent="0.3">
      <c r="A2099" s="2">
        <v>2098</v>
      </c>
      <c r="B2099" s="1" t="s">
        <v>4466</v>
      </c>
      <c r="C2099" s="1" t="s">
        <v>4459</v>
      </c>
      <c r="D2099" s="1" t="s">
        <v>4460</v>
      </c>
      <c r="E2099" s="1" t="s">
        <v>4467</v>
      </c>
      <c r="F2099" s="1" t="str">
        <f>HYPERLINK("https://talan.bank.gov.ua/get-user-certificate/J5325_VpqozpD8spSWLP","Завантажити сертифікат")</f>
        <v>Завантажити сертифікат</v>
      </c>
    </row>
    <row r="2100" spans="1:6" ht="28.8" x14ac:dyDescent="0.3">
      <c r="A2100" s="2">
        <v>2099</v>
      </c>
      <c r="B2100" s="1" t="s">
        <v>4468</v>
      </c>
      <c r="C2100" s="1" t="s">
        <v>4459</v>
      </c>
      <c r="D2100" s="1" t="s">
        <v>4460</v>
      </c>
      <c r="E2100" s="1" t="s">
        <v>4469</v>
      </c>
      <c r="F2100" s="1" t="str">
        <f>HYPERLINK("https://talan.bank.gov.ua/get-user-certificate/J5325E3Z-Qq45iM72SGt","Завантажити сертифікат")</f>
        <v>Завантажити сертифікат</v>
      </c>
    </row>
    <row r="2101" spans="1:6" ht="28.8" x14ac:dyDescent="0.3">
      <c r="A2101" s="2">
        <v>2100</v>
      </c>
      <c r="B2101" s="1" t="s">
        <v>4470</v>
      </c>
      <c r="C2101" s="1" t="s">
        <v>4459</v>
      </c>
      <c r="D2101" s="1" t="s">
        <v>4460</v>
      </c>
      <c r="E2101" s="1" t="s">
        <v>4471</v>
      </c>
      <c r="F2101" s="1" t="str">
        <f>HYPERLINK("https://talan.bank.gov.ua/get-user-certificate/J5325e5U-8j3FIu7Supn","Завантажити сертифікат")</f>
        <v>Завантажити сертифікат</v>
      </c>
    </row>
    <row r="2102" spans="1:6" ht="28.8" x14ac:dyDescent="0.3">
      <c r="A2102" s="2">
        <v>2101</v>
      </c>
      <c r="B2102" s="1" t="s">
        <v>4472</v>
      </c>
      <c r="C2102" s="1" t="s">
        <v>4459</v>
      </c>
      <c r="D2102" s="1" t="s">
        <v>4460</v>
      </c>
      <c r="E2102" s="1" t="s">
        <v>4473</v>
      </c>
      <c r="F2102" s="1" t="str">
        <f>HYPERLINK("https://talan.bank.gov.ua/get-user-certificate/J5325ujlM_GwWG3YKvq5","Завантажити сертифікат")</f>
        <v>Завантажити сертифікат</v>
      </c>
    </row>
    <row r="2103" spans="1:6" ht="28.8" x14ac:dyDescent="0.3">
      <c r="A2103" s="2">
        <v>2102</v>
      </c>
      <c r="B2103" s="1" t="s">
        <v>4474</v>
      </c>
      <c r="C2103" s="1" t="s">
        <v>4459</v>
      </c>
      <c r="D2103" s="1" t="s">
        <v>4460</v>
      </c>
      <c r="E2103" s="1" t="s">
        <v>4475</v>
      </c>
      <c r="F2103" s="1" t="str">
        <f>HYPERLINK("https://talan.bank.gov.ua/get-user-certificate/J5325pLM-my_sCBiovPq","Завантажити сертифікат")</f>
        <v>Завантажити сертифікат</v>
      </c>
    </row>
    <row r="2104" spans="1:6" ht="28.8" x14ac:dyDescent="0.3">
      <c r="A2104" s="2">
        <v>2103</v>
      </c>
      <c r="B2104" s="1" t="s">
        <v>4476</v>
      </c>
      <c r="C2104" s="1" t="s">
        <v>4459</v>
      </c>
      <c r="D2104" s="1" t="s">
        <v>4460</v>
      </c>
      <c r="E2104" s="1" t="s">
        <v>4477</v>
      </c>
      <c r="F2104" s="1" t="str">
        <f>HYPERLINK("https://talan.bank.gov.ua/get-user-certificate/J5325yvQcbbGt9Ob0eUk","Завантажити сертифікат")</f>
        <v>Завантажити сертифікат</v>
      </c>
    </row>
    <row r="2105" spans="1:6" ht="28.8" x14ac:dyDescent="0.3">
      <c r="A2105" s="2">
        <v>2104</v>
      </c>
      <c r="B2105" s="1" t="s">
        <v>4478</v>
      </c>
      <c r="C2105" s="1" t="s">
        <v>4459</v>
      </c>
      <c r="D2105" s="1" t="s">
        <v>4460</v>
      </c>
      <c r="E2105" s="1" t="s">
        <v>4479</v>
      </c>
      <c r="F2105" s="1" t="str">
        <f>HYPERLINK("https://talan.bank.gov.ua/get-user-certificate/J5325Y0sKQQRt4k6lXDk","Завантажити сертифікат")</f>
        <v>Завантажити сертифікат</v>
      </c>
    </row>
    <row r="2106" spans="1:6" ht="28.8" x14ac:dyDescent="0.3">
      <c r="A2106" s="2">
        <v>2105</v>
      </c>
      <c r="B2106" s="1" t="s">
        <v>4480</v>
      </c>
      <c r="C2106" s="1" t="s">
        <v>4459</v>
      </c>
      <c r="D2106" s="1" t="s">
        <v>4460</v>
      </c>
      <c r="E2106" s="1" t="s">
        <v>4481</v>
      </c>
      <c r="F2106" s="1" t="str">
        <f>HYPERLINK("https://talan.bank.gov.ua/get-user-certificate/J5325A50eI_N7NDW8zOE","Завантажити сертифікат")</f>
        <v>Завантажити сертифікат</v>
      </c>
    </row>
    <row r="2107" spans="1:6" ht="28.8" x14ac:dyDescent="0.3">
      <c r="A2107" s="2">
        <v>2106</v>
      </c>
      <c r="B2107" s="1" t="s">
        <v>4482</v>
      </c>
      <c r="C2107" s="1" t="s">
        <v>4459</v>
      </c>
      <c r="D2107" s="1" t="s">
        <v>4460</v>
      </c>
      <c r="E2107" s="1" t="s">
        <v>4483</v>
      </c>
      <c r="F2107" s="1" t="str">
        <f>HYPERLINK("https://talan.bank.gov.ua/get-user-certificate/J5325ks5-g8H7SJoNZE3","Завантажити сертифікат")</f>
        <v>Завантажити сертифікат</v>
      </c>
    </row>
    <row r="2108" spans="1:6" ht="28.8" x14ac:dyDescent="0.3">
      <c r="A2108" s="2">
        <v>2107</v>
      </c>
      <c r="B2108" s="1" t="s">
        <v>4484</v>
      </c>
      <c r="C2108" s="1" t="s">
        <v>4459</v>
      </c>
      <c r="D2108" s="1" t="s">
        <v>4460</v>
      </c>
      <c r="E2108" s="1" t="s">
        <v>4485</v>
      </c>
      <c r="F2108" s="1" t="str">
        <f>HYPERLINK("https://talan.bank.gov.ua/get-user-certificate/J5325arnOfRTFj9S8O88","Завантажити сертифікат")</f>
        <v>Завантажити сертифікат</v>
      </c>
    </row>
    <row r="2109" spans="1:6" ht="28.8" x14ac:dyDescent="0.3">
      <c r="A2109" s="2">
        <v>2108</v>
      </c>
      <c r="B2109" s="1" t="s">
        <v>4486</v>
      </c>
      <c r="C2109" s="1" t="s">
        <v>4487</v>
      </c>
      <c r="D2109" s="1" t="s">
        <v>4488</v>
      </c>
      <c r="E2109" s="1" t="s">
        <v>4489</v>
      </c>
      <c r="F2109" s="1" t="str">
        <f>HYPERLINK("https://talan.bank.gov.ua/get-user-certificate/J53257t7HFN5Oly0lKus","Завантажити сертифікат")</f>
        <v>Завантажити сертифікат</v>
      </c>
    </row>
    <row r="2110" spans="1:6" ht="28.8" x14ac:dyDescent="0.3">
      <c r="A2110" s="2">
        <v>2109</v>
      </c>
      <c r="B2110" s="1" t="s">
        <v>4490</v>
      </c>
      <c r="C2110" s="1" t="s">
        <v>4487</v>
      </c>
      <c r="D2110" s="1" t="s">
        <v>4488</v>
      </c>
      <c r="E2110" s="1" t="s">
        <v>4491</v>
      </c>
      <c r="F2110" s="1" t="str">
        <f>HYPERLINK("https://talan.bank.gov.ua/get-user-certificate/J53255mZp6-RdScTkqZ1","Завантажити сертифікат")</f>
        <v>Завантажити сертифікат</v>
      </c>
    </row>
    <row r="2111" spans="1:6" ht="28.8" x14ac:dyDescent="0.3">
      <c r="A2111" s="2">
        <v>2110</v>
      </c>
      <c r="B2111" s="1" t="s">
        <v>4492</v>
      </c>
      <c r="C2111" s="1" t="s">
        <v>4487</v>
      </c>
      <c r="D2111" s="1" t="s">
        <v>4488</v>
      </c>
      <c r="E2111" s="1" t="s">
        <v>4493</v>
      </c>
      <c r="F2111" s="1" t="str">
        <f>HYPERLINK("https://talan.bank.gov.ua/get-user-certificate/J53252WkC5DS6xsv0COJ","Завантажити сертифікат")</f>
        <v>Завантажити сертифікат</v>
      </c>
    </row>
    <row r="2112" spans="1:6" ht="28.8" x14ac:dyDescent="0.3">
      <c r="A2112" s="2">
        <v>2111</v>
      </c>
      <c r="B2112" s="1" t="s">
        <v>4494</v>
      </c>
      <c r="C2112" s="1" t="s">
        <v>4487</v>
      </c>
      <c r="D2112" s="1" t="s">
        <v>4488</v>
      </c>
      <c r="E2112" s="1" t="s">
        <v>4495</v>
      </c>
      <c r="F2112" s="1" t="str">
        <f>HYPERLINK("https://talan.bank.gov.ua/get-user-certificate/J5325SdqQLoAdc2hwIXp","Завантажити сертифікат")</f>
        <v>Завантажити сертифікат</v>
      </c>
    </row>
    <row r="2113" spans="1:6" ht="28.8" x14ac:dyDescent="0.3">
      <c r="A2113" s="2">
        <v>2112</v>
      </c>
      <c r="B2113" s="1" t="s">
        <v>4496</v>
      </c>
      <c r="C2113" s="1" t="s">
        <v>4487</v>
      </c>
      <c r="D2113" s="1" t="s">
        <v>4488</v>
      </c>
      <c r="E2113" s="1" t="s">
        <v>4497</v>
      </c>
      <c r="F2113" s="1" t="str">
        <f>HYPERLINK("https://talan.bank.gov.ua/get-user-certificate/J5325HWqYm3RDWVl7NxD","Завантажити сертифікат")</f>
        <v>Завантажити сертифікат</v>
      </c>
    </row>
    <row r="2114" spans="1:6" ht="28.8" x14ac:dyDescent="0.3">
      <c r="A2114" s="2">
        <v>2113</v>
      </c>
      <c r="B2114" s="1" t="s">
        <v>4498</v>
      </c>
      <c r="C2114" s="1" t="s">
        <v>4487</v>
      </c>
      <c r="D2114" s="1" t="s">
        <v>4488</v>
      </c>
      <c r="E2114" s="1" t="s">
        <v>4499</v>
      </c>
      <c r="F2114" s="1" t="str">
        <f>HYPERLINK("https://talan.bank.gov.ua/get-user-certificate/J5325Rlo_OA1It0p_J9C","Завантажити сертифікат")</f>
        <v>Завантажити сертифікат</v>
      </c>
    </row>
    <row r="2115" spans="1:6" ht="28.8" x14ac:dyDescent="0.3">
      <c r="A2115" s="2">
        <v>2114</v>
      </c>
      <c r="B2115" s="1" t="s">
        <v>4500</v>
      </c>
      <c r="C2115" s="1" t="s">
        <v>4487</v>
      </c>
      <c r="D2115" s="1" t="s">
        <v>4488</v>
      </c>
      <c r="E2115" s="1" t="s">
        <v>4501</v>
      </c>
      <c r="F2115" s="1" t="str">
        <f>HYPERLINK("https://talan.bank.gov.ua/get-user-certificate/J5325C-qqmw7RMTtygMx","Завантажити сертифікат")</f>
        <v>Завантажити сертифікат</v>
      </c>
    </row>
    <row r="2116" spans="1:6" ht="28.8" x14ac:dyDescent="0.3">
      <c r="A2116" s="2">
        <v>2115</v>
      </c>
      <c r="B2116" s="1" t="s">
        <v>4502</v>
      </c>
      <c r="C2116" s="1" t="s">
        <v>4487</v>
      </c>
      <c r="D2116" s="1" t="s">
        <v>4488</v>
      </c>
      <c r="E2116" s="1" t="s">
        <v>4503</v>
      </c>
      <c r="F2116" s="1" t="str">
        <f>HYPERLINK("https://talan.bank.gov.ua/get-user-certificate/J5325_Lnf3nq-Tfz34GP","Завантажити сертифікат")</f>
        <v>Завантажити сертифікат</v>
      </c>
    </row>
    <row r="2117" spans="1:6" ht="28.8" x14ac:dyDescent="0.3">
      <c r="A2117" s="2">
        <v>2116</v>
      </c>
      <c r="B2117" s="1" t="s">
        <v>4504</v>
      </c>
      <c r="C2117" s="1" t="s">
        <v>4487</v>
      </c>
      <c r="D2117" s="1" t="s">
        <v>4488</v>
      </c>
      <c r="E2117" s="1" t="s">
        <v>4505</v>
      </c>
      <c r="F2117" s="1" t="str">
        <f>HYPERLINK("https://talan.bank.gov.ua/get-user-certificate/J53250BrmeCrVNPvm_9a","Завантажити сертифікат")</f>
        <v>Завантажити сертифікат</v>
      </c>
    </row>
    <row r="2118" spans="1:6" ht="28.8" x14ac:dyDescent="0.3">
      <c r="A2118" s="2">
        <v>2117</v>
      </c>
      <c r="B2118" s="1" t="s">
        <v>4506</v>
      </c>
      <c r="C2118" s="1" t="s">
        <v>4487</v>
      </c>
      <c r="D2118" s="1" t="s">
        <v>4488</v>
      </c>
      <c r="E2118" s="1" t="s">
        <v>4507</v>
      </c>
      <c r="F2118" s="1" t="str">
        <f>HYPERLINK("https://talan.bank.gov.ua/get-user-certificate/J5325aQej8fVI7uwX3HI","Завантажити сертифікат")</f>
        <v>Завантажити сертифікат</v>
      </c>
    </row>
    <row r="2119" spans="1:6" ht="28.8" x14ac:dyDescent="0.3">
      <c r="A2119" s="2">
        <v>2118</v>
      </c>
      <c r="B2119" s="1" t="s">
        <v>4508</v>
      </c>
      <c r="C2119" s="1" t="s">
        <v>4487</v>
      </c>
      <c r="D2119" s="1" t="s">
        <v>4488</v>
      </c>
      <c r="E2119" s="1" t="s">
        <v>4509</v>
      </c>
      <c r="F2119" s="1" t="str">
        <f>HYPERLINK("https://talan.bank.gov.ua/get-user-certificate/J5325AofqgcUxuJV-lry","Завантажити сертифікат")</f>
        <v>Завантажити сертифікат</v>
      </c>
    </row>
    <row r="2120" spans="1:6" ht="28.8" x14ac:dyDescent="0.3">
      <c r="A2120" s="2">
        <v>2119</v>
      </c>
      <c r="B2120" s="1" t="s">
        <v>4510</v>
      </c>
      <c r="C2120" s="1" t="s">
        <v>4487</v>
      </c>
      <c r="D2120" s="1" t="s">
        <v>4488</v>
      </c>
      <c r="E2120" s="1" t="s">
        <v>4511</v>
      </c>
      <c r="F2120" s="1" t="str">
        <f>HYPERLINK("https://talan.bank.gov.ua/get-user-certificate/J5325xJ_Fjcx--TQQz3m","Завантажити сертифікат")</f>
        <v>Завантажити сертифікат</v>
      </c>
    </row>
    <row r="2121" spans="1:6" ht="28.8" x14ac:dyDescent="0.3">
      <c r="A2121" s="2">
        <v>2120</v>
      </c>
      <c r="B2121" s="1" t="s">
        <v>4512</v>
      </c>
      <c r="C2121" s="1" t="s">
        <v>4487</v>
      </c>
      <c r="D2121" s="1" t="s">
        <v>4488</v>
      </c>
      <c r="E2121" s="1" t="s">
        <v>4513</v>
      </c>
      <c r="F2121" s="1" t="str">
        <f>HYPERLINK("https://talan.bank.gov.ua/get-user-certificate/J5325Yj2h7YQDnPH5oJM","Завантажити сертифікат")</f>
        <v>Завантажити сертифікат</v>
      </c>
    </row>
    <row r="2122" spans="1:6" ht="28.8" x14ac:dyDescent="0.3">
      <c r="A2122" s="2">
        <v>2121</v>
      </c>
      <c r="B2122" s="1" t="s">
        <v>4514</v>
      </c>
      <c r="C2122" s="1" t="s">
        <v>4487</v>
      </c>
      <c r="D2122" s="1" t="s">
        <v>4488</v>
      </c>
      <c r="E2122" s="1" t="s">
        <v>4515</v>
      </c>
      <c r="F2122" s="1" t="str">
        <f>HYPERLINK("https://talan.bank.gov.ua/get-user-certificate/J5325CbcLjRYcV0XPEJu","Завантажити сертифікат")</f>
        <v>Завантажити сертифікат</v>
      </c>
    </row>
    <row r="2123" spans="1:6" ht="28.8" x14ac:dyDescent="0.3">
      <c r="A2123" s="2">
        <v>2122</v>
      </c>
      <c r="B2123" s="1" t="s">
        <v>4516</v>
      </c>
      <c r="C2123" s="1" t="s">
        <v>4487</v>
      </c>
      <c r="D2123" s="1" t="s">
        <v>4488</v>
      </c>
      <c r="E2123" s="1" t="s">
        <v>4517</v>
      </c>
      <c r="F2123" s="1" t="str">
        <f>HYPERLINK("https://talan.bank.gov.ua/get-user-certificate/J5325Yxu_npLgZDDQnxA","Завантажити сертифікат")</f>
        <v>Завантажити сертифікат</v>
      </c>
    </row>
    <row r="2124" spans="1:6" ht="28.8" x14ac:dyDescent="0.3">
      <c r="A2124" s="2">
        <v>2123</v>
      </c>
      <c r="B2124" s="1" t="s">
        <v>4518</v>
      </c>
      <c r="C2124" s="1" t="s">
        <v>4487</v>
      </c>
      <c r="D2124" s="1" t="s">
        <v>4488</v>
      </c>
      <c r="E2124" s="1" t="s">
        <v>4519</v>
      </c>
      <c r="F2124" s="1" t="str">
        <f>HYPERLINK("https://talan.bank.gov.ua/get-user-certificate/J5325B6TDuNO3-DQpzMN","Завантажити сертифікат")</f>
        <v>Завантажити сертифікат</v>
      </c>
    </row>
    <row r="2125" spans="1:6" ht="28.8" x14ac:dyDescent="0.3">
      <c r="A2125" s="2">
        <v>2124</v>
      </c>
      <c r="B2125" s="1" t="s">
        <v>4520</v>
      </c>
      <c r="C2125" s="1" t="s">
        <v>4487</v>
      </c>
      <c r="D2125" s="1" t="s">
        <v>4488</v>
      </c>
      <c r="E2125" s="1" t="s">
        <v>4521</v>
      </c>
      <c r="F2125" s="1" t="str">
        <f>HYPERLINK("https://talan.bank.gov.ua/get-user-certificate/J5325XX_7Yzs8_FF7NJf","Завантажити сертифікат")</f>
        <v>Завантажити сертифікат</v>
      </c>
    </row>
    <row r="2126" spans="1:6" ht="28.8" x14ac:dyDescent="0.3">
      <c r="A2126" s="2">
        <v>2125</v>
      </c>
      <c r="B2126" s="1" t="s">
        <v>4522</v>
      </c>
      <c r="C2126" s="1" t="s">
        <v>4487</v>
      </c>
      <c r="D2126" s="1" t="s">
        <v>4488</v>
      </c>
      <c r="E2126" s="1" t="s">
        <v>4523</v>
      </c>
      <c r="F2126" s="1" t="str">
        <f>HYPERLINK("https://talan.bank.gov.ua/get-user-certificate/J5325s2o-7rx28J5-bAq","Завантажити сертифікат")</f>
        <v>Завантажити сертифікат</v>
      </c>
    </row>
    <row r="2127" spans="1:6" ht="28.8" x14ac:dyDescent="0.3">
      <c r="A2127" s="2">
        <v>2126</v>
      </c>
      <c r="B2127" s="1" t="s">
        <v>4524</v>
      </c>
      <c r="C2127" s="1" t="s">
        <v>4525</v>
      </c>
      <c r="D2127" s="1" t="s">
        <v>4526</v>
      </c>
      <c r="E2127" s="1" t="s">
        <v>4527</v>
      </c>
      <c r="F2127" s="1" t="str">
        <f>HYPERLINK("https://talan.bank.gov.ua/get-user-certificate/J5325qP-ADFJ0nYp7yro","Завантажити сертифікат")</f>
        <v>Завантажити сертифікат</v>
      </c>
    </row>
    <row r="2128" spans="1:6" ht="28.8" x14ac:dyDescent="0.3">
      <c r="A2128" s="2">
        <v>2127</v>
      </c>
      <c r="B2128" s="1" t="s">
        <v>4528</v>
      </c>
      <c r="C2128" s="1" t="s">
        <v>4525</v>
      </c>
      <c r="D2128" s="1" t="s">
        <v>4526</v>
      </c>
      <c r="E2128" s="1" t="s">
        <v>4529</v>
      </c>
      <c r="F2128" s="1" t="str">
        <f>HYPERLINK("https://talan.bank.gov.ua/get-user-certificate/J53250oUaf8VFnJOLRlp","Завантажити сертифікат")</f>
        <v>Завантажити сертифікат</v>
      </c>
    </row>
    <row r="2129" spans="1:6" ht="28.8" x14ac:dyDescent="0.3">
      <c r="A2129" s="2">
        <v>2128</v>
      </c>
      <c r="B2129" s="1" t="s">
        <v>4530</v>
      </c>
      <c r="C2129" s="1" t="s">
        <v>4525</v>
      </c>
      <c r="D2129" s="1" t="s">
        <v>4526</v>
      </c>
      <c r="E2129" s="1" t="s">
        <v>4531</v>
      </c>
      <c r="F2129" s="1" t="str">
        <f>HYPERLINK("https://talan.bank.gov.ua/get-user-certificate/J5325g_TtK7-H-BCVxS2","Завантажити сертифікат")</f>
        <v>Завантажити сертифікат</v>
      </c>
    </row>
    <row r="2130" spans="1:6" ht="28.8" x14ac:dyDescent="0.3">
      <c r="A2130" s="2">
        <v>2129</v>
      </c>
      <c r="B2130" s="1" t="s">
        <v>4532</v>
      </c>
      <c r="C2130" s="1" t="s">
        <v>4525</v>
      </c>
      <c r="D2130" s="1" t="s">
        <v>4526</v>
      </c>
      <c r="E2130" s="1" t="s">
        <v>4533</v>
      </c>
      <c r="F2130" s="1" t="str">
        <f>HYPERLINK("https://talan.bank.gov.ua/get-user-certificate/J5325Sb5sBH6Xtf_keRf","Завантажити сертифікат")</f>
        <v>Завантажити сертифікат</v>
      </c>
    </row>
    <row r="2131" spans="1:6" ht="28.8" x14ac:dyDescent="0.3">
      <c r="A2131" s="2">
        <v>2130</v>
      </c>
      <c r="B2131" s="1" t="s">
        <v>4534</v>
      </c>
      <c r="C2131" s="1" t="s">
        <v>4525</v>
      </c>
      <c r="D2131" s="1" t="s">
        <v>4526</v>
      </c>
      <c r="E2131" s="1" t="s">
        <v>4535</v>
      </c>
      <c r="F2131" s="1" t="str">
        <f>HYPERLINK("https://talan.bank.gov.ua/get-user-certificate/J5325yz_PgrLnf0U7f3X","Завантажити сертифікат")</f>
        <v>Завантажити сертифікат</v>
      </c>
    </row>
    <row r="2132" spans="1:6" ht="28.8" x14ac:dyDescent="0.3">
      <c r="A2132" s="2">
        <v>2131</v>
      </c>
      <c r="B2132" s="1" t="s">
        <v>4536</v>
      </c>
      <c r="C2132" s="1" t="s">
        <v>4525</v>
      </c>
      <c r="D2132" s="1" t="s">
        <v>4526</v>
      </c>
      <c r="E2132" s="1" t="s">
        <v>4537</v>
      </c>
      <c r="F2132" s="1" t="str">
        <f>HYPERLINK("https://talan.bank.gov.ua/get-user-certificate/J53250dLMkfn7bt64iMB","Завантажити сертифікат")</f>
        <v>Завантажити сертифікат</v>
      </c>
    </row>
    <row r="2133" spans="1:6" ht="28.8" x14ac:dyDescent="0.3">
      <c r="A2133" s="2">
        <v>2132</v>
      </c>
      <c r="B2133" s="1" t="s">
        <v>4538</v>
      </c>
      <c r="C2133" s="1" t="s">
        <v>4525</v>
      </c>
      <c r="D2133" s="1" t="s">
        <v>4526</v>
      </c>
      <c r="E2133" s="1" t="s">
        <v>4539</v>
      </c>
      <c r="F2133" s="1" t="str">
        <f>HYPERLINK("https://talan.bank.gov.ua/get-user-certificate/J5325UD2kgCBt0Xgqs2r","Завантажити сертифікат")</f>
        <v>Завантажити сертифікат</v>
      </c>
    </row>
    <row r="2134" spans="1:6" ht="28.8" x14ac:dyDescent="0.3">
      <c r="A2134" s="2">
        <v>2133</v>
      </c>
      <c r="B2134" s="1" t="s">
        <v>4540</v>
      </c>
      <c r="C2134" s="1" t="s">
        <v>4525</v>
      </c>
      <c r="D2134" s="1" t="s">
        <v>4526</v>
      </c>
      <c r="E2134" s="1" t="s">
        <v>4541</v>
      </c>
      <c r="F2134" s="1" t="str">
        <f>HYPERLINK("https://talan.bank.gov.ua/get-user-certificate/J5325GV0GI7sNUwGowQP","Завантажити сертифікат")</f>
        <v>Завантажити сертифікат</v>
      </c>
    </row>
    <row r="2135" spans="1:6" ht="28.8" x14ac:dyDescent="0.3">
      <c r="A2135" s="2">
        <v>2134</v>
      </c>
      <c r="B2135" s="1" t="s">
        <v>4542</v>
      </c>
      <c r="C2135" s="1" t="s">
        <v>4525</v>
      </c>
      <c r="D2135" s="1" t="s">
        <v>4526</v>
      </c>
      <c r="E2135" s="1" t="s">
        <v>4543</v>
      </c>
      <c r="F2135" s="1" t="str">
        <f>HYPERLINK("https://talan.bank.gov.ua/get-user-certificate/J5325zciWSPKPsSY3lYz","Завантажити сертифікат")</f>
        <v>Завантажити сертифікат</v>
      </c>
    </row>
    <row r="2136" spans="1:6" ht="28.8" x14ac:dyDescent="0.3">
      <c r="A2136" s="2">
        <v>2135</v>
      </c>
      <c r="B2136" s="1" t="s">
        <v>4544</v>
      </c>
      <c r="C2136" s="1" t="s">
        <v>4525</v>
      </c>
      <c r="D2136" s="1" t="s">
        <v>4526</v>
      </c>
      <c r="E2136" s="1" t="s">
        <v>4545</v>
      </c>
      <c r="F2136" s="1" t="str">
        <f>HYPERLINK("https://talan.bank.gov.ua/get-user-certificate/J5325KdHhxhdqGultn-t","Завантажити сертифікат")</f>
        <v>Завантажити сертифікат</v>
      </c>
    </row>
    <row r="2137" spans="1:6" ht="28.8" x14ac:dyDescent="0.3">
      <c r="A2137" s="2">
        <v>2136</v>
      </c>
      <c r="B2137" s="1" t="s">
        <v>4546</v>
      </c>
      <c r="C2137" s="1" t="s">
        <v>4525</v>
      </c>
      <c r="D2137" s="1" t="s">
        <v>4526</v>
      </c>
      <c r="E2137" s="1" t="s">
        <v>4547</v>
      </c>
      <c r="F2137" s="1" t="str">
        <f>HYPERLINK("https://talan.bank.gov.ua/get-user-certificate/J5325Yc5tPD-3IovipkS","Завантажити сертифікат")</f>
        <v>Завантажити сертифікат</v>
      </c>
    </row>
    <row r="2138" spans="1:6" ht="28.8" x14ac:dyDescent="0.3">
      <c r="A2138" s="2">
        <v>2137</v>
      </c>
      <c r="B2138" s="1" t="s">
        <v>4548</v>
      </c>
      <c r="C2138" s="1" t="s">
        <v>4525</v>
      </c>
      <c r="D2138" s="1" t="s">
        <v>4526</v>
      </c>
      <c r="E2138" s="1" t="s">
        <v>4549</v>
      </c>
      <c r="F2138" s="1" t="str">
        <f>HYPERLINK("https://talan.bank.gov.ua/get-user-certificate/J5325veVLds-VYvkRDZ6","Завантажити сертифікат")</f>
        <v>Завантажити сертифікат</v>
      </c>
    </row>
    <row r="2139" spans="1:6" ht="28.8" x14ac:dyDescent="0.3">
      <c r="A2139" s="2">
        <v>2138</v>
      </c>
      <c r="B2139" s="1" t="s">
        <v>4550</v>
      </c>
      <c r="C2139" s="1" t="s">
        <v>4525</v>
      </c>
      <c r="D2139" s="1" t="s">
        <v>4526</v>
      </c>
      <c r="E2139" s="1" t="s">
        <v>4551</v>
      </c>
      <c r="F2139" s="1" t="str">
        <f>HYPERLINK("https://talan.bank.gov.ua/get-user-certificate/J53253yTjebZwgLhqWcl","Завантажити сертифікат")</f>
        <v>Завантажити сертифікат</v>
      </c>
    </row>
    <row r="2140" spans="1:6" ht="28.8" x14ac:dyDescent="0.3">
      <c r="A2140" s="2">
        <v>2139</v>
      </c>
      <c r="B2140" s="1" t="s">
        <v>4552</v>
      </c>
      <c r="C2140" s="1" t="s">
        <v>4525</v>
      </c>
      <c r="D2140" s="1" t="s">
        <v>4526</v>
      </c>
      <c r="E2140" s="1" t="s">
        <v>4553</v>
      </c>
      <c r="F2140" s="1" t="str">
        <f>HYPERLINK("https://talan.bank.gov.ua/get-user-certificate/J5325v5TfdCj3F8HGV5n","Завантажити сертифікат")</f>
        <v>Завантажити сертифікат</v>
      </c>
    </row>
    <row r="2141" spans="1:6" ht="28.8" x14ac:dyDescent="0.3">
      <c r="A2141" s="2">
        <v>2140</v>
      </c>
      <c r="B2141" s="1" t="s">
        <v>4554</v>
      </c>
      <c r="C2141" s="1" t="s">
        <v>4525</v>
      </c>
      <c r="D2141" s="1" t="s">
        <v>4526</v>
      </c>
      <c r="E2141" s="1" t="s">
        <v>4555</v>
      </c>
      <c r="F2141" s="1" t="str">
        <f>HYPERLINK("https://talan.bank.gov.ua/get-user-certificate/J5325U2ukUYFjhDOUeXP","Завантажити сертифікат")</f>
        <v>Завантажити сертифікат</v>
      </c>
    </row>
    <row r="2142" spans="1:6" ht="28.8" x14ac:dyDescent="0.3">
      <c r="A2142" s="2">
        <v>2141</v>
      </c>
      <c r="B2142" s="1" t="s">
        <v>4556</v>
      </c>
      <c r="C2142" s="1" t="s">
        <v>4525</v>
      </c>
      <c r="D2142" s="1" t="s">
        <v>4526</v>
      </c>
      <c r="E2142" s="1" t="s">
        <v>4557</v>
      </c>
      <c r="F2142" s="1" t="str">
        <f>HYPERLINK("https://talan.bank.gov.ua/get-user-certificate/J5325QMpG55JpLFfuQxG","Завантажити сертифікат")</f>
        <v>Завантажити сертифікат</v>
      </c>
    </row>
    <row r="2143" spans="1:6" ht="28.8" x14ac:dyDescent="0.3">
      <c r="A2143" s="2">
        <v>2142</v>
      </c>
      <c r="B2143" s="1" t="s">
        <v>4558</v>
      </c>
      <c r="C2143" s="1" t="s">
        <v>4525</v>
      </c>
      <c r="D2143" s="1" t="s">
        <v>4526</v>
      </c>
      <c r="E2143" s="1" t="s">
        <v>4559</v>
      </c>
      <c r="F2143" s="1" t="str">
        <f>HYPERLINK("https://talan.bank.gov.ua/get-user-certificate/J5325BqBh62Q3lgKMh1b","Завантажити сертифікат")</f>
        <v>Завантажити сертифікат</v>
      </c>
    </row>
    <row r="2144" spans="1:6" ht="28.8" x14ac:dyDescent="0.3">
      <c r="A2144" s="2">
        <v>2143</v>
      </c>
      <c r="B2144" s="1" t="s">
        <v>4560</v>
      </c>
      <c r="C2144" s="1" t="s">
        <v>4525</v>
      </c>
      <c r="D2144" s="1" t="s">
        <v>4526</v>
      </c>
      <c r="E2144" s="1" t="s">
        <v>4561</v>
      </c>
      <c r="F2144" s="1" t="str">
        <f>HYPERLINK("https://talan.bank.gov.ua/get-user-certificate/J5325p_D_dz-kUdoY-pY","Завантажити сертифікат")</f>
        <v>Завантажити сертифікат</v>
      </c>
    </row>
    <row r="2145" spans="1:6" ht="28.8" x14ac:dyDescent="0.3">
      <c r="A2145" s="2">
        <v>2144</v>
      </c>
      <c r="B2145" s="1" t="s">
        <v>4562</v>
      </c>
      <c r="C2145" s="1" t="s">
        <v>4525</v>
      </c>
      <c r="D2145" s="1" t="s">
        <v>4526</v>
      </c>
      <c r="E2145" s="1" t="s">
        <v>4563</v>
      </c>
      <c r="F2145" s="1" t="str">
        <f>HYPERLINK("https://talan.bank.gov.ua/get-user-certificate/J5325HnW5duYl5O42zat","Завантажити сертифікат")</f>
        <v>Завантажити сертифікат</v>
      </c>
    </row>
    <row r="2146" spans="1:6" ht="28.8" x14ac:dyDescent="0.3">
      <c r="A2146" s="2">
        <v>2145</v>
      </c>
      <c r="B2146" s="1" t="s">
        <v>4564</v>
      </c>
      <c r="C2146" s="1" t="s">
        <v>4525</v>
      </c>
      <c r="D2146" s="1" t="s">
        <v>4526</v>
      </c>
      <c r="E2146" s="1" t="s">
        <v>4565</v>
      </c>
      <c r="F2146" s="1" t="str">
        <f>HYPERLINK("https://talan.bank.gov.ua/get-user-certificate/J5325AFETydNQYGG1R00","Завантажити сертифікат")</f>
        <v>Завантажити сертифікат</v>
      </c>
    </row>
    <row r="2147" spans="1:6" ht="28.8" x14ac:dyDescent="0.3">
      <c r="A2147" s="2">
        <v>2146</v>
      </c>
      <c r="B2147" s="1" t="s">
        <v>4566</v>
      </c>
      <c r="C2147" s="1" t="s">
        <v>4525</v>
      </c>
      <c r="D2147" s="1" t="s">
        <v>4526</v>
      </c>
      <c r="E2147" s="1" t="s">
        <v>4567</v>
      </c>
      <c r="F2147" s="1" t="str">
        <f>HYPERLINK("https://talan.bank.gov.ua/get-user-certificate/J5325uM7_yfr5MGLw4Yh","Завантажити сертифікат")</f>
        <v>Завантажити сертифікат</v>
      </c>
    </row>
    <row r="2148" spans="1:6" ht="28.8" x14ac:dyDescent="0.3">
      <c r="A2148" s="2">
        <v>2147</v>
      </c>
      <c r="B2148" s="1" t="s">
        <v>4568</v>
      </c>
      <c r="C2148" s="1" t="s">
        <v>4525</v>
      </c>
      <c r="D2148" s="1" t="s">
        <v>4526</v>
      </c>
      <c r="E2148" s="1" t="s">
        <v>4569</v>
      </c>
      <c r="F2148" s="1" t="str">
        <f>HYPERLINK("https://talan.bank.gov.ua/get-user-certificate/J5325u-z-J_YHhIjUunj","Завантажити сертифікат")</f>
        <v>Завантажити сертифікат</v>
      </c>
    </row>
    <row r="2149" spans="1:6" ht="28.8" x14ac:dyDescent="0.3">
      <c r="A2149" s="2">
        <v>2148</v>
      </c>
      <c r="B2149" s="1" t="s">
        <v>4570</v>
      </c>
      <c r="C2149" s="1" t="s">
        <v>4525</v>
      </c>
      <c r="D2149" s="1" t="s">
        <v>4526</v>
      </c>
      <c r="E2149" s="1" t="s">
        <v>4571</v>
      </c>
      <c r="F2149" s="1" t="str">
        <f>HYPERLINK("https://talan.bank.gov.ua/get-user-certificate/J5325OBOOuyOh78MMC-L","Завантажити сертифікат")</f>
        <v>Завантажити сертифікат</v>
      </c>
    </row>
    <row r="2150" spans="1:6" ht="28.8" x14ac:dyDescent="0.3">
      <c r="A2150" s="2">
        <v>2149</v>
      </c>
      <c r="B2150" s="1" t="s">
        <v>4572</v>
      </c>
      <c r="C2150" s="1" t="s">
        <v>4525</v>
      </c>
      <c r="D2150" s="1" t="s">
        <v>4526</v>
      </c>
      <c r="E2150" s="1" t="s">
        <v>4573</v>
      </c>
      <c r="F2150" s="1" t="str">
        <f>HYPERLINK("https://talan.bank.gov.ua/get-user-certificate/J5325fbYoV4RxjwNbG3p","Завантажити сертифікат")</f>
        <v>Завантажити сертифікат</v>
      </c>
    </row>
    <row r="2151" spans="1:6" ht="28.8" x14ac:dyDescent="0.3">
      <c r="A2151" s="2">
        <v>2150</v>
      </c>
      <c r="B2151" s="1" t="s">
        <v>4574</v>
      </c>
      <c r="C2151" s="1" t="s">
        <v>4525</v>
      </c>
      <c r="D2151" s="1" t="s">
        <v>4526</v>
      </c>
      <c r="E2151" s="1" t="s">
        <v>4575</v>
      </c>
      <c r="F2151" s="1" t="str">
        <f>HYPERLINK("https://talan.bank.gov.ua/get-user-certificate/J53251gJSowAIEooSCwJ","Завантажити сертифікат")</f>
        <v>Завантажити сертифікат</v>
      </c>
    </row>
    <row r="2152" spans="1:6" ht="28.8" x14ac:dyDescent="0.3">
      <c r="A2152" s="2">
        <v>2151</v>
      </c>
      <c r="B2152" s="1" t="s">
        <v>4576</v>
      </c>
      <c r="C2152" s="1" t="s">
        <v>4525</v>
      </c>
      <c r="D2152" s="1" t="s">
        <v>4526</v>
      </c>
      <c r="E2152" s="1" t="s">
        <v>4577</v>
      </c>
      <c r="F2152" s="1" t="str">
        <f>HYPERLINK("https://talan.bank.gov.ua/get-user-certificate/J5325qKosPrfl2pW8ubF","Завантажити сертифікат")</f>
        <v>Завантажити сертифікат</v>
      </c>
    </row>
    <row r="2153" spans="1:6" ht="28.8" x14ac:dyDescent="0.3">
      <c r="A2153" s="2">
        <v>2152</v>
      </c>
      <c r="B2153" s="1" t="s">
        <v>4578</v>
      </c>
      <c r="C2153" s="1" t="s">
        <v>4525</v>
      </c>
      <c r="D2153" s="1" t="s">
        <v>4526</v>
      </c>
      <c r="E2153" s="1" t="s">
        <v>4579</v>
      </c>
      <c r="F2153" s="1" t="str">
        <f>HYPERLINK("https://talan.bank.gov.ua/get-user-certificate/J5325wsX-eaems2fh8QE","Завантажити сертифікат")</f>
        <v>Завантажити сертифікат</v>
      </c>
    </row>
    <row r="2154" spans="1:6" ht="28.8" x14ac:dyDescent="0.3">
      <c r="A2154" s="2">
        <v>2153</v>
      </c>
      <c r="B2154" s="1" t="s">
        <v>4580</v>
      </c>
      <c r="C2154" s="1" t="s">
        <v>4525</v>
      </c>
      <c r="D2154" s="1" t="s">
        <v>4526</v>
      </c>
      <c r="E2154" s="1" t="s">
        <v>4581</v>
      </c>
      <c r="F2154" s="1" t="str">
        <f>HYPERLINK("https://talan.bank.gov.ua/get-user-certificate/J5325mBC9o56eWSOQQ5b","Завантажити сертифікат")</f>
        <v>Завантажити сертифікат</v>
      </c>
    </row>
    <row r="2155" spans="1:6" ht="28.8" x14ac:dyDescent="0.3">
      <c r="A2155" s="2">
        <v>2154</v>
      </c>
      <c r="B2155" s="1" t="s">
        <v>4582</v>
      </c>
      <c r="C2155" s="1" t="s">
        <v>4525</v>
      </c>
      <c r="D2155" s="1" t="s">
        <v>4526</v>
      </c>
      <c r="E2155" s="1" t="s">
        <v>4583</v>
      </c>
      <c r="F2155" s="1" t="str">
        <f>HYPERLINK("https://talan.bank.gov.ua/get-user-certificate/J5325JxvIC8Upb4ueGDo","Завантажити сертифікат")</f>
        <v>Завантажити сертифікат</v>
      </c>
    </row>
    <row r="2156" spans="1:6" ht="28.8" x14ac:dyDescent="0.3">
      <c r="A2156" s="2">
        <v>2155</v>
      </c>
      <c r="B2156" s="1" t="s">
        <v>4584</v>
      </c>
      <c r="C2156" s="1" t="s">
        <v>4525</v>
      </c>
      <c r="D2156" s="1" t="s">
        <v>4526</v>
      </c>
      <c r="E2156" s="1" t="s">
        <v>4585</v>
      </c>
      <c r="F2156" s="1" t="str">
        <f>HYPERLINK("https://talan.bank.gov.ua/get-user-certificate/J5325gpFK_wBAV69Thwr","Завантажити сертифікат")</f>
        <v>Завантажити сертифікат</v>
      </c>
    </row>
    <row r="2157" spans="1:6" ht="28.8" x14ac:dyDescent="0.3">
      <c r="A2157" s="2">
        <v>2156</v>
      </c>
      <c r="B2157" s="1" t="s">
        <v>4586</v>
      </c>
      <c r="C2157" s="1" t="s">
        <v>4525</v>
      </c>
      <c r="D2157" s="1" t="s">
        <v>4526</v>
      </c>
      <c r="E2157" s="1" t="s">
        <v>4587</v>
      </c>
      <c r="F2157" s="1" t="str">
        <f>HYPERLINK("https://talan.bank.gov.ua/get-user-certificate/J5325ylLIh71p924kOE4","Завантажити сертифікат")</f>
        <v>Завантажити сертифікат</v>
      </c>
    </row>
    <row r="2158" spans="1:6" ht="28.8" x14ac:dyDescent="0.3">
      <c r="A2158" s="2">
        <v>2157</v>
      </c>
      <c r="B2158" s="1" t="s">
        <v>4588</v>
      </c>
      <c r="C2158" s="1" t="s">
        <v>4525</v>
      </c>
      <c r="D2158" s="1" t="s">
        <v>4526</v>
      </c>
      <c r="E2158" s="1" t="s">
        <v>4589</v>
      </c>
      <c r="F2158" s="1" t="str">
        <f>HYPERLINK("https://talan.bank.gov.ua/get-user-certificate/J5325UwqeaLyDjCsLGhr","Завантажити сертифікат")</f>
        <v>Завантажити сертифікат</v>
      </c>
    </row>
    <row r="2159" spans="1:6" ht="28.8" x14ac:dyDescent="0.3">
      <c r="A2159" s="2">
        <v>2158</v>
      </c>
      <c r="B2159" s="1" t="s">
        <v>4590</v>
      </c>
      <c r="C2159" s="1" t="s">
        <v>4591</v>
      </c>
      <c r="D2159" s="1" t="s">
        <v>4592</v>
      </c>
      <c r="E2159" s="1" t="s">
        <v>4593</v>
      </c>
      <c r="F2159" s="1" t="str">
        <f>HYPERLINK("https://talan.bank.gov.ua/get-user-certificate/J5325Cmmpbx8IdmoCQA_","Завантажити сертифікат")</f>
        <v>Завантажити сертифікат</v>
      </c>
    </row>
    <row r="2160" spans="1:6" ht="28.8" x14ac:dyDescent="0.3">
      <c r="A2160" s="2">
        <v>2159</v>
      </c>
      <c r="B2160" s="1" t="s">
        <v>4594</v>
      </c>
      <c r="C2160" s="1" t="s">
        <v>4591</v>
      </c>
      <c r="D2160" s="1" t="s">
        <v>4592</v>
      </c>
      <c r="E2160" s="1" t="s">
        <v>4595</v>
      </c>
      <c r="F2160" s="1" t="str">
        <f>HYPERLINK("https://talan.bank.gov.ua/get-user-certificate/J5325tgwYyioY3wtcZUL","Завантажити сертифікат")</f>
        <v>Завантажити сертифікат</v>
      </c>
    </row>
    <row r="2161" spans="1:6" ht="28.8" x14ac:dyDescent="0.3">
      <c r="A2161" s="2">
        <v>2160</v>
      </c>
      <c r="B2161" s="1" t="s">
        <v>4596</v>
      </c>
      <c r="C2161" s="1" t="s">
        <v>4591</v>
      </c>
      <c r="D2161" s="1" t="s">
        <v>4592</v>
      </c>
      <c r="E2161" s="1" t="s">
        <v>4597</v>
      </c>
      <c r="F2161" s="1" t="str">
        <f>HYPERLINK("https://talan.bank.gov.ua/get-user-certificate/J5325fUyUdpOEWh6h2D0","Завантажити сертифікат")</f>
        <v>Завантажити сертифікат</v>
      </c>
    </row>
    <row r="2162" spans="1:6" ht="28.8" x14ac:dyDescent="0.3">
      <c r="A2162" s="2">
        <v>2161</v>
      </c>
      <c r="B2162" s="1" t="s">
        <v>4598</v>
      </c>
      <c r="C2162" s="1" t="s">
        <v>4591</v>
      </c>
      <c r="D2162" s="1" t="s">
        <v>4592</v>
      </c>
      <c r="E2162" s="1" t="s">
        <v>4599</v>
      </c>
      <c r="F2162" s="1" t="str">
        <f>HYPERLINK("https://talan.bank.gov.ua/get-user-certificate/J53257Rb1wPUlydTYGtw","Завантажити сертифікат")</f>
        <v>Завантажити сертифікат</v>
      </c>
    </row>
    <row r="2163" spans="1:6" ht="28.8" x14ac:dyDescent="0.3">
      <c r="A2163" s="2">
        <v>2162</v>
      </c>
      <c r="B2163" s="1" t="s">
        <v>4600</v>
      </c>
      <c r="C2163" s="1" t="s">
        <v>4591</v>
      </c>
      <c r="D2163" s="1" t="s">
        <v>4592</v>
      </c>
      <c r="E2163" s="1" t="s">
        <v>4601</v>
      </c>
      <c r="F2163" s="1" t="str">
        <f>HYPERLINK("https://talan.bank.gov.ua/get-user-certificate/J5325CvqU0JnW5PDVfPC","Завантажити сертифікат")</f>
        <v>Завантажити сертифікат</v>
      </c>
    </row>
    <row r="2164" spans="1:6" ht="28.8" x14ac:dyDescent="0.3">
      <c r="A2164" s="2">
        <v>2163</v>
      </c>
      <c r="B2164" s="1" t="s">
        <v>4602</v>
      </c>
      <c r="C2164" s="1" t="s">
        <v>4591</v>
      </c>
      <c r="D2164" s="1" t="s">
        <v>4592</v>
      </c>
      <c r="E2164" s="1" t="s">
        <v>4603</v>
      </c>
      <c r="F2164" s="1" t="str">
        <f>HYPERLINK("https://talan.bank.gov.ua/get-user-certificate/J5325RVRt2ZqcksFhqYL","Завантажити сертифікат")</f>
        <v>Завантажити сертифікат</v>
      </c>
    </row>
    <row r="2165" spans="1:6" ht="28.8" x14ac:dyDescent="0.3">
      <c r="A2165" s="2">
        <v>2164</v>
      </c>
      <c r="B2165" s="1" t="s">
        <v>4604</v>
      </c>
      <c r="C2165" s="1" t="s">
        <v>4591</v>
      </c>
      <c r="D2165" s="1" t="s">
        <v>4592</v>
      </c>
      <c r="E2165" s="1" t="s">
        <v>4605</v>
      </c>
      <c r="F2165" s="1" t="str">
        <f>HYPERLINK("https://talan.bank.gov.ua/get-user-certificate/J5325Ba5ZbN9kFWkmRrX","Завантажити сертифікат")</f>
        <v>Завантажити сертифікат</v>
      </c>
    </row>
    <row r="2166" spans="1:6" ht="28.8" x14ac:dyDescent="0.3">
      <c r="A2166" s="2">
        <v>2165</v>
      </c>
      <c r="B2166" s="1" t="s">
        <v>4606</v>
      </c>
      <c r="C2166" s="1" t="s">
        <v>4591</v>
      </c>
      <c r="D2166" s="1" t="s">
        <v>4592</v>
      </c>
      <c r="E2166" s="1" t="s">
        <v>4607</v>
      </c>
      <c r="F2166" s="1" t="str">
        <f>HYPERLINK("https://talan.bank.gov.ua/get-user-certificate/J5325vNMfqH1wtfPZb5V","Завантажити сертифікат")</f>
        <v>Завантажити сертифікат</v>
      </c>
    </row>
    <row r="2167" spans="1:6" ht="28.8" x14ac:dyDescent="0.3">
      <c r="A2167" s="2">
        <v>2166</v>
      </c>
      <c r="B2167" s="1" t="s">
        <v>4608</v>
      </c>
      <c r="C2167" s="1" t="s">
        <v>4591</v>
      </c>
      <c r="D2167" s="1" t="s">
        <v>4592</v>
      </c>
      <c r="E2167" s="1" t="s">
        <v>4609</v>
      </c>
      <c r="F2167" s="1" t="str">
        <f>HYPERLINK("https://talan.bank.gov.ua/get-user-certificate/J5325rzZEH6X1xZ39Vk0","Завантажити сертифікат")</f>
        <v>Завантажити сертифікат</v>
      </c>
    </row>
    <row r="2168" spans="1:6" ht="28.8" x14ac:dyDescent="0.3">
      <c r="A2168" s="2">
        <v>2167</v>
      </c>
      <c r="B2168" s="1" t="s">
        <v>4610</v>
      </c>
      <c r="C2168" s="1" t="s">
        <v>4591</v>
      </c>
      <c r="D2168" s="1" t="s">
        <v>4592</v>
      </c>
      <c r="E2168" s="1" t="s">
        <v>4611</v>
      </c>
      <c r="F2168" s="1" t="str">
        <f>HYPERLINK("https://talan.bank.gov.ua/get-user-certificate/J5325NyRPiVeeuF3Y3Ih","Завантажити сертифікат")</f>
        <v>Завантажити сертифікат</v>
      </c>
    </row>
    <row r="2169" spans="1:6" ht="28.8" x14ac:dyDescent="0.3">
      <c r="A2169" s="2">
        <v>2168</v>
      </c>
      <c r="B2169" s="1" t="s">
        <v>4612</v>
      </c>
      <c r="C2169" s="1" t="s">
        <v>4591</v>
      </c>
      <c r="D2169" s="1" t="s">
        <v>4592</v>
      </c>
      <c r="E2169" s="1" t="s">
        <v>4613</v>
      </c>
      <c r="F2169" s="1" t="str">
        <f>HYPERLINK("https://talan.bank.gov.ua/get-user-certificate/J5325YtV7lOsdFE654nC","Завантажити сертифікат")</f>
        <v>Завантажити сертифікат</v>
      </c>
    </row>
    <row r="2170" spans="1:6" ht="28.8" x14ac:dyDescent="0.3">
      <c r="A2170" s="2">
        <v>2169</v>
      </c>
      <c r="B2170" s="1" t="s">
        <v>4614</v>
      </c>
      <c r="C2170" s="1" t="s">
        <v>4591</v>
      </c>
      <c r="D2170" s="1" t="s">
        <v>4592</v>
      </c>
      <c r="E2170" s="1" t="s">
        <v>4615</v>
      </c>
      <c r="F2170" s="1" t="str">
        <f>HYPERLINK("https://talan.bank.gov.ua/get-user-certificate/J5325-fhs7UrYpM36xM_","Завантажити сертифікат")</f>
        <v>Завантажити сертифікат</v>
      </c>
    </row>
    <row r="2171" spans="1:6" ht="28.8" x14ac:dyDescent="0.3">
      <c r="A2171" s="2">
        <v>2170</v>
      </c>
      <c r="B2171" s="1" t="s">
        <v>4616</v>
      </c>
      <c r="C2171" s="1" t="s">
        <v>4591</v>
      </c>
      <c r="D2171" s="1" t="s">
        <v>4592</v>
      </c>
      <c r="E2171" s="1" t="s">
        <v>4617</v>
      </c>
      <c r="F2171" s="1" t="str">
        <f>HYPERLINK("https://talan.bank.gov.ua/get-user-certificate/J5325GgLYHTWcQApsoS6","Завантажити сертифікат")</f>
        <v>Завантажити сертифікат</v>
      </c>
    </row>
    <row r="2172" spans="1:6" ht="28.8" x14ac:dyDescent="0.3">
      <c r="A2172" s="2">
        <v>2171</v>
      </c>
      <c r="B2172" s="1" t="s">
        <v>4618</v>
      </c>
      <c r="C2172" s="1" t="s">
        <v>4591</v>
      </c>
      <c r="D2172" s="1" t="s">
        <v>4592</v>
      </c>
      <c r="E2172" s="1" t="s">
        <v>4619</v>
      </c>
      <c r="F2172" s="1" t="str">
        <f>HYPERLINK("https://talan.bank.gov.ua/get-user-certificate/J5325Wu68ymfq9AzmowK","Завантажити сертифікат")</f>
        <v>Завантажити сертифікат</v>
      </c>
    </row>
    <row r="2173" spans="1:6" ht="28.8" x14ac:dyDescent="0.3">
      <c r="A2173" s="2">
        <v>2172</v>
      </c>
      <c r="B2173" s="1" t="s">
        <v>4620</v>
      </c>
      <c r="C2173" s="1" t="s">
        <v>4591</v>
      </c>
      <c r="D2173" s="1" t="s">
        <v>4592</v>
      </c>
      <c r="E2173" s="1" t="s">
        <v>4621</v>
      </c>
      <c r="F2173" s="1" t="str">
        <f>HYPERLINK("https://talan.bank.gov.ua/get-user-certificate/J5325xzXzLlSBmY5Bbpa","Завантажити сертифікат")</f>
        <v>Завантажити сертифікат</v>
      </c>
    </row>
    <row r="2174" spans="1:6" ht="28.8" x14ac:dyDescent="0.3">
      <c r="A2174" s="2">
        <v>2173</v>
      </c>
      <c r="B2174" s="1" t="s">
        <v>4622</v>
      </c>
      <c r="C2174" s="1" t="s">
        <v>4591</v>
      </c>
      <c r="D2174" s="1" t="s">
        <v>4592</v>
      </c>
      <c r="E2174" s="1" t="s">
        <v>4623</v>
      </c>
      <c r="F2174" s="1" t="str">
        <f>HYPERLINK("https://talan.bank.gov.ua/get-user-certificate/J5325ejLnL0Tmawnc7by","Завантажити сертифікат")</f>
        <v>Завантажити сертифікат</v>
      </c>
    </row>
    <row r="2175" spans="1:6" ht="28.8" x14ac:dyDescent="0.3">
      <c r="A2175" s="2">
        <v>2174</v>
      </c>
      <c r="B2175" s="1" t="s">
        <v>4624</v>
      </c>
      <c r="C2175" s="1" t="s">
        <v>4591</v>
      </c>
      <c r="D2175" s="1" t="s">
        <v>4592</v>
      </c>
      <c r="E2175" s="1" t="s">
        <v>4625</v>
      </c>
      <c r="F2175" s="1" t="str">
        <f>HYPERLINK("https://talan.bank.gov.ua/get-user-certificate/J5325y7r1qZHiyLWgA7f","Завантажити сертифікат")</f>
        <v>Завантажити сертифікат</v>
      </c>
    </row>
    <row r="2176" spans="1:6" ht="28.8" x14ac:dyDescent="0.3">
      <c r="A2176" s="2">
        <v>2175</v>
      </c>
      <c r="B2176" s="1" t="s">
        <v>4626</v>
      </c>
      <c r="C2176" s="1" t="s">
        <v>4591</v>
      </c>
      <c r="D2176" s="1" t="s">
        <v>4592</v>
      </c>
      <c r="E2176" s="1" t="s">
        <v>4627</v>
      </c>
      <c r="F2176" s="1" t="str">
        <f>HYPERLINK("https://talan.bank.gov.ua/get-user-certificate/J5325wXITtGDDG_lR83o","Завантажити сертифікат")</f>
        <v>Завантажити сертифікат</v>
      </c>
    </row>
    <row r="2177" spans="1:6" ht="28.8" x14ac:dyDescent="0.3">
      <c r="A2177" s="2">
        <v>2176</v>
      </c>
      <c r="B2177" s="1" t="s">
        <v>4628</v>
      </c>
      <c r="C2177" s="1" t="s">
        <v>4591</v>
      </c>
      <c r="D2177" s="1" t="s">
        <v>4592</v>
      </c>
      <c r="E2177" s="1" t="s">
        <v>4629</v>
      </c>
      <c r="F2177" s="1" t="str">
        <f>HYPERLINK("https://talan.bank.gov.ua/get-user-certificate/J5325N4qld2L1vyb6kWn","Завантажити сертифікат")</f>
        <v>Завантажити сертифікат</v>
      </c>
    </row>
    <row r="2178" spans="1:6" ht="28.8" x14ac:dyDescent="0.3">
      <c r="A2178" s="2">
        <v>2177</v>
      </c>
      <c r="B2178" s="1" t="s">
        <v>4630</v>
      </c>
      <c r="C2178" s="1" t="s">
        <v>4591</v>
      </c>
      <c r="D2178" s="1" t="s">
        <v>4592</v>
      </c>
      <c r="E2178" s="1" t="s">
        <v>4631</v>
      </c>
      <c r="F2178" s="1" t="str">
        <f>HYPERLINK("https://talan.bank.gov.ua/get-user-certificate/J53258iSEZBrCfOEk6i4","Завантажити сертифікат")</f>
        <v>Завантажити сертифікат</v>
      </c>
    </row>
    <row r="2179" spans="1:6" ht="28.8" x14ac:dyDescent="0.3">
      <c r="A2179" s="2">
        <v>2178</v>
      </c>
      <c r="B2179" s="1" t="s">
        <v>4632</v>
      </c>
      <c r="C2179" s="1" t="s">
        <v>4591</v>
      </c>
      <c r="D2179" s="1" t="s">
        <v>4592</v>
      </c>
      <c r="E2179" s="1" t="s">
        <v>4633</v>
      </c>
      <c r="F2179" s="1" t="str">
        <f>HYPERLINK("https://talan.bank.gov.ua/get-user-certificate/J5325pnG_FqA7A9HA97m","Завантажити сертифікат")</f>
        <v>Завантажити сертифікат</v>
      </c>
    </row>
    <row r="2180" spans="1:6" ht="28.8" x14ac:dyDescent="0.3">
      <c r="A2180" s="2">
        <v>2179</v>
      </c>
      <c r="B2180" s="1" t="s">
        <v>4634</v>
      </c>
      <c r="C2180" s="1" t="s">
        <v>4591</v>
      </c>
      <c r="D2180" s="1" t="s">
        <v>4592</v>
      </c>
      <c r="E2180" s="1" t="s">
        <v>4635</v>
      </c>
      <c r="F2180" s="1" t="str">
        <f>HYPERLINK("https://talan.bank.gov.ua/get-user-certificate/J53250bjU_kc0hNO0cnR","Завантажити сертифікат")</f>
        <v>Завантажити сертифікат</v>
      </c>
    </row>
    <row r="2181" spans="1:6" ht="28.8" x14ac:dyDescent="0.3">
      <c r="A2181" s="2">
        <v>2180</v>
      </c>
      <c r="B2181" s="1" t="s">
        <v>4636</v>
      </c>
      <c r="C2181" s="1" t="s">
        <v>4591</v>
      </c>
      <c r="D2181" s="1" t="s">
        <v>4592</v>
      </c>
      <c r="E2181" s="1" t="s">
        <v>4637</v>
      </c>
      <c r="F2181" s="1" t="str">
        <f>HYPERLINK("https://talan.bank.gov.ua/get-user-certificate/J5325zXJy_W3QPiGBlUG","Завантажити сертифікат")</f>
        <v>Завантажити сертифікат</v>
      </c>
    </row>
    <row r="2182" spans="1:6" ht="28.8" x14ac:dyDescent="0.3">
      <c r="A2182" s="2">
        <v>2181</v>
      </c>
      <c r="B2182" s="1" t="s">
        <v>4638</v>
      </c>
      <c r="C2182" s="1" t="s">
        <v>4591</v>
      </c>
      <c r="D2182" s="1" t="s">
        <v>4592</v>
      </c>
      <c r="E2182" s="1" t="s">
        <v>4639</v>
      </c>
      <c r="F2182" s="1" t="str">
        <f>HYPERLINK("https://talan.bank.gov.ua/get-user-certificate/J5325WZsXgrXtVrXhuip","Завантажити сертифікат")</f>
        <v>Завантажити сертифікат</v>
      </c>
    </row>
    <row r="2183" spans="1:6" ht="28.8" x14ac:dyDescent="0.3">
      <c r="A2183" s="2">
        <v>2182</v>
      </c>
      <c r="B2183" s="1" t="s">
        <v>4640</v>
      </c>
      <c r="C2183" s="1" t="s">
        <v>4591</v>
      </c>
      <c r="D2183" s="1" t="s">
        <v>4592</v>
      </c>
      <c r="E2183" s="1" t="s">
        <v>4641</v>
      </c>
      <c r="F2183" s="1" t="str">
        <f>HYPERLINK("https://talan.bank.gov.ua/get-user-certificate/J5325PLTrupLYRwH76Za","Завантажити сертифікат")</f>
        <v>Завантажити сертифікат</v>
      </c>
    </row>
    <row r="2184" spans="1:6" ht="28.8" x14ac:dyDescent="0.3">
      <c r="A2184" s="2">
        <v>2183</v>
      </c>
      <c r="B2184" s="1" t="s">
        <v>4642</v>
      </c>
      <c r="C2184" s="1" t="s">
        <v>4591</v>
      </c>
      <c r="D2184" s="1" t="s">
        <v>4592</v>
      </c>
      <c r="E2184" s="1" t="s">
        <v>4643</v>
      </c>
      <c r="F2184" s="1" t="str">
        <f>HYPERLINK("https://talan.bank.gov.ua/get-user-certificate/J5325YTBhMEkDkgLnQv8","Завантажити сертифікат")</f>
        <v>Завантажити сертифікат</v>
      </c>
    </row>
    <row r="2185" spans="1:6" ht="28.8" x14ac:dyDescent="0.3">
      <c r="A2185" s="2">
        <v>2184</v>
      </c>
      <c r="B2185" s="1" t="s">
        <v>4644</v>
      </c>
      <c r="C2185" s="1" t="s">
        <v>4591</v>
      </c>
      <c r="D2185" s="1" t="s">
        <v>4592</v>
      </c>
      <c r="E2185" s="1" t="s">
        <v>4645</v>
      </c>
      <c r="F2185" s="1" t="str">
        <f>HYPERLINK("https://talan.bank.gov.ua/get-user-certificate/J5325B_d8QD8oY8c8E_d","Завантажити сертифікат")</f>
        <v>Завантажити сертифікат</v>
      </c>
    </row>
    <row r="2186" spans="1:6" ht="28.8" x14ac:dyDescent="0.3">
      <c r="A2186" s="2">
        <v>2185</v>
      </c>
      <c r="B2186" s="1" t="s">
        <v>4646</v>
      </c>
      <c r="C2186" s="1" t="s">
        <v>4591</v>
      </c>
      <c r="D2186" s="1" t="s">
        <v>4592</v>
      </c>
      <c r="E2186" s="1" t="s">
        <v>4647</v>
      </c>
      <c r="F2186" s="1" t="str">
        <f>HYPERLINK("https://talan.bank.gov.ua/get-user-certificate/J5325fknmJ6djecNwg3a","Завантажити сертифікат")</f>
        <v>Завантажити сертифікат</v>
      </c>
    </row>
    <row r="2187" spans="1:6" ht="28.8" x14ac:dyDescent="0.3">
      <c r="A2187" s="2">
        <v>2186</v>
      </c>
      <c r="B2187" s="1" t="s">
        <v>4648</v>
      </c>
      <c r="C2187" s="1" t="s">
        <v>4591</v>
      </c>
      <c r="D2187" s="1" t="s">
        <v>4592</v>
      </c>
      <c r="E2187" s="1" t="s">
        <v>4649</v>
      </c>
      <c r="F2187" s="1" t="str">
        <f>HYPERLINK("https://talan.bank.gov.ua/get-user-certificate/J5325qS9SEiCoMZaQj5K","Завантажити сертифікат")</f>
        <v>Завантажити сертифікат</v>
      </c>
    </row>
    <row r="2188" spans="1:6" ht="28.8" x14ac:dyDescent="0.3">
      <c r="A2188" s="2">
        <v>2187</v>
      </c>
      <c r="B2188" s="1" t="s">
        <v>4650</v>
      </c>
      <c r="C2188" s="1" t="s">
        <v>4591</v>
      </c>
      <c r="D2188" s="1" t="s">
        <v>4592</v>
      </c>
      <c r="E2188" s="1" t="s">
        <v>4651</v>
      </c>
      <c r="F2188" s="1" t="str">
        <f>HYPERLINK("https://talan.bank.gov.ua/get-user-certificate/J5325qHT-78od0jNk-hl","Завантажити сертифікат")</f>
        <v>Завантажити сертифікат</v>
      </c>
    </row>
    <row r="2189" spans="1:6" ht="28.8" x14ac:dyDescent="0.3">
      <c r="A2189" s="2">
        <v>2188</v>
      </c>
      <c r="B2189" s="1" t="s">
        <v>4652</v>
      </c>
      <c r="C2189" s="1" t="s">
        <v>4591</v>
      </c>
      <c r="D2189" s="1" t="s">
        <v>4592</v>
      </c>
      <c r="E2189" s="1" t="s">
        <v>4653</v>
      </c>
      <c r="F2189" s="1" t="str">
        <f>HYPERLINK("https://talan.bank.gov.ua/get-user-certificate/J5325aOvUBVTiqWdTYkD","Завантажити сертифікат")</f>
        <v>Завантажити сертифікат</v>
      </c>
    </row>
    <row r="2190" spans="1:6" ht="28.8" x14ac:dyDescent="0.3">
      <c r="A2190" s="2">
        <v>2189</v>
      </c>
      <c r="B2190" s="1" t="s">
        <v>4654</v>
      </c>
      <c r="C2190" s="1" t="s">
        <v>4591</v>
      </c>
      <c r="D2190" s="1" t="s">
        <v>4592</v>
      </c>
      <c r="E2190" s="1" t="s">
        <v>4655</v>
      </c>
      <c r="F2190" s="1" t="str">
        <f>HYPERLINK("https://talan.bank.gov.ua/get-user-certificate/J5325MEWXJwlK9DuzYSM","Завантажити сертифікат")</f>
        <v>Завантажити сертифікат</v>
      </c>
    </row>
    <row r="2191" spans="1:6" ht="28.8" x14ac:dyDescent="0.3">
      <c r="A2191" s="2">
        <v>2190</v>
      </c>
      <c r="B2191" s="1" t="s">
        <v>4656</v>
      </c>
      <c r="C2191" s="1" t="s">
        <v>4591</v>
      </c>
      <c r="D2191" s="1" t="s">
        <v>4592</v>
      </c>
      <c r="E2191" s="1" t="s">
        <v>4657</v>
      </c>
      <c r="F2191" s="1" t="str">
        <f>HYPERLINK("https://talan.bank.gov.ua/get-user-certificate/J53254aekUbXQrrB9xoF","Завантажити сертифікат")</f>
        <v>Завантажити сертифікат</v>
      </c>
    </row>
    <row r="2192" spans="1:6" ht="28.8" x14ac:dyDescent="0.3">
      <c r="A2192" s="2">
        <v>2191</v>
      </c>
      <c r="B2192" s="1" t="s">
        <v>4658</v>
      </c>
      <c r="C2192" s="1" t="s">
        <v>4591</v>
      </c>
      <c r="D2192" s="1" t="s">
        <v>4592</v>
      </c>
      <c r="E2192" s="1" t="s">
        <v>4659</v>
      </c>
      <c r="F2192" s="1" t="str">
        <f>HYPERLINK("https://talan.bank.gov.ua/get-user-certificate/J53258Rbso7bltM9eenX","Завантажити сертифікат")</f>
        <v>Завантажити сертифікат</v>
      </c>
    </row>
    <row r="2193" spans="1:6" ht="28.8" x14ac:dyDescent="0.3">
      <c r="A2193" s="2">
        <v>2192</v>
      </c>
      <c r="B2193" s="1" t="s">
        <v>4660</v>
      </c>
      <c r="C2193" s="1" t="s">
        <v>4591</v>
      </c>
      <c r="D2193" s="1" t="s">
        <v>4592</v>
      </c>
      <c r="E2193" s="1" t="s">
        <v>4661</v>
      </c>
      <c r="F2193" s="1" t="str">
        <f>HYPERLINK("https://talan.bank.gov.ua/get-user-certificate/J5325njEjQGEGDSZxrq1","Завантажити сертифікат")</f>
        <v>Завантажити сертифікат</v>
      </c>
    </row>
    <row r="2194" spans="1:6" ht="28.8" x14ac:dyDescent="0.3">
      <c r="A2194" s="2">
        <v>2193</v>
      </c>
      <c r="B2194" s="1" t="s">
        <v>4662</v>
      </c>
      <c r="C2194" s="1" t="s">
        <v>4663</v>
      </c>
      <c r="D2194" s="1" t="s">
        <v>4664</v>
      </c>
      <c r="E2194" s="1" t="s">
        <v>4665</v>
      </c>
      <c r="F2194" s="1" t="str">
        <f>HYPERLINK("https://talan.bank.gov.ua/get-user-certificate/J5325GanDG8iYHBzW_Rf","Завантажити сертифікат")</f>
        <v>Завантажити сертифікат</v>
      </c>
    </row>
    <row r="2195" spans="1:6" ht="28.8" x14ac:dyDescent="0.3">
      <c r="A2195" s="2">
        <v>2194</v>
      </c>
      <c r="B2195" s="1" t="s">
        <v>4666</v>
      </c>
      <c r="C2195" s="1" t="s">
        <v>4663</v>
      </c>
      <c r="D2195" s="1" t="s">
        <v>4664</v>
      </c>
      <c r="E2195" s="1" t="s">
        <v>4667</v>
      </c>
      <c r="F2195" s="1" t="str">
        <f>HYPERLINK("https://talan.bank.gov.ua/get-user-certificate/J5325lDWOLbOPeylDgAf","Завантажити сертифікат")</f>
        <v>Завантажити сертифікат</v>
      </c>
    </row>
    <row r="2196" spans="1:6" ht="28.8" x14ac:dyDescent="0.3">
      <c r="A2196" s="2">
        <v>2195</v>
      </c>
      <c r="B2196" s="1" t="s">
        <v>4668</v>
      </c>
      <c r="C2196" s="1" t="s">
        <v>4663</v>
      </c>
      <c r="D2196" s="1" t="s">
        <v>4664</v>
      </c>
      <c r="E2196" s="1" t="s">
        <v>4669</v>
      </c>
      <c r="F2196" s="1" t="str">
        <f>HYPERLINK("https://talan.bank.gov.ua/get-user-certificate/J5325yBUqnBXArh8eZiW","Завантажити сертифікат")</f>
        <v>Завантажити сертифікат</v>
      </c>
    </row>
    <row r="2197" spans="1:6" ht="28.8" x14ac:dyDescent="0.3">
      <c r="A2197" s="2">
        <v>2196</v>
      </c>
      <c r="B2197" s="1" t="s">
        <v>4670</v>
      </c>
      <c r="C2197" s="1" t="s">
        <v>4663</v>
      </c>
      <c r="D2197" s="1" t="s">
        <v>4664</v>
      </c>
      <c r="E2197" s="1" t="s">
        <v>4671</v>
      </c>
      <c r="F2197" s="1" t="str">
        <f>HYPERLINK("https://talan.bank.gov.ua/get-user-certificate/J5325uE6Zu8j85WArvVx","Завантажити сертифікат")</f>
        <v>Завантажити сертифікат</v>
      </c>
    </row>
    <row r="2198" spans="1:6" ht="28.8" x14ac:dyDescent="0.3">
      <c r="A2198" s="2">
        <v>2197</v>
      </c>
      <c r="B2198" s="1" t="s">
        <v>4672</v>
      </c>
      <c r="C2198" s="1" t="s">
        <v>4663</v>
      </c>
      <c r="D2198" s="1" t="s">
        <v>4664</v>
      </c>
      <c r="E2198" s="1" t="s">
        <v>4673</v>
      </c>
      <c r="F2198" s="1" t="str">
        <f>HYPERLINK("https://talan.bank.gov.ua/get-user-certificate/J5325AcpH6m-iSHVFJu4","Завантажити сертифікат")</f>
        <v>Завантажити сертифікат</v>
      </c>
    </row>
    <row r="2199" spans="1:6" ht="28.8" x14ac:dyDescent="0.3">
      <c r="A2199" s="2">
        <v>2198</v>
      </c>
      <c r="B2199" s="1" t="s">
        <v>4674</v>
      </c>
      <c r="C2199" s="1" t="s">
        <v>4663</v>
      </c>
      <c r="D2199" s="1" t="s">
        <v>4664</v>
      </c>
      <c r="E2199" s="1" t="s">
        <v>4675</v>
      </c>
      <c r="F2199" s="1" t="str">
        <f>HYPERLINK("https://talan.bank.gov.ua/get-user-certificate/J5325a23R4GXLBQhzUkv","Завантажити сертифікат")</f>
        <v>Завантажити сертифікат</v>
      </c>
    </row>
    <row r="2200" spans="1:6" ht="28.8" x14ac:dyDescent="0.3">
      <c r="A2200" s="2">
        <v>2199</v>
      </c>
      <c r="B2200" s="1" t="s">
        <v>4676</v>
      </c>
      <c r="C2200" s="1" t="s">
        <v>4663</v>
      </c>
      <c r="D2200" s="1" t="s">
        <v>4664</v>
      </c>
      <c r="E2200" s="1" t="s">
        <v>4677</v>
      </c>
      <c r="F2200" s="1" t="str">
        <f>HYPERLINK("https://talan.bank.gov.ua/get-user-certificate/J5325ycBi7hOuzujsOHY","Завантажити сертифікат")</f>
        <v>Завантажити сертифікат</v>
      </c>
    </row>
    <row r="2201" spans="1:6" ht="28.8" x14ac:dyDescent="0.3">
      <c r="A2201" s="2">
        <v>2200</v>
      </c>
      <c r="B2201" s="1" t="s">
        <v>4678</v>
      </c>
      <c r="C2201" s="1" t="s">
        <v>4663</v>
      </c>
      <c r="D2201" s="1" t="s">
        <v>4664</v>
      </c>
      <c r="E2201" s="1" t="s">
        <v>4679</v>
      </c>
      <c r="F2201" s="1" t="str">
        <f>HYPERLINK("https://talan.bank.gov.ua/get-user-certificate/J5325i3mysmfAPvEX_Am","Завантажити сертифікат")</f>
        <v>Завантажити сертифікат</v>
      </c>
    </row>
    <row r="2202" spans="1:6" ht="28.8" x14ac:dyDescent="0.3">
      <c r="A2202" s="2">
        <v>2201</v>
      </c>
      <c r="B2202" s="1" t="s">
        <v>4680</v>
      </c>
      <c r="C2202" s="1" t="s">
        <v>4663</v>
      </c>
      <c r="D2202" s="1" t="s">
        <v>4664</v>
      </c>
      <c r="E2202" s="1" t="s">
        <v>4681</v>
      </c>
      <c r="F2202" s="1" t="str">
        <f>HYPERLINK("https://talan.bank.gov.ua/get-user-certificate/J5325MTqFTGsRE3i19x6","Завантажити сертифікат")</f>
        <v>Завантажити сертифікат</v>
      </c>
    </row>
    <row r="2203" spans="1:6" ht="28.8" x14ac:dyDescent="0.3">
      <c r="A2203" s="2">
        <v>2202</v>
      </c>
      <c r="B2203" s="1" t="s">
        <v>4682</v>
      </c>
      <c r="C2203" s="1" t="s">
        <v>4663</v>
      </c>
      <c r="D2203" s="1" t="s">
        <v>4664</v>
      </c>
      <c r="E2203" s="1" t="s">
        <v>4683</v>
      </c>
      <c r="F2203" s="1" t="str">
        <f>HYPERLINK("https://talan.bank.gov.ua/get-user-certificate/J5325cU0SdivWgu3Nhjs","Завантажити сертифікат")</f>
        <v>Завантажити сертифікат</v>
      </c>
    </row>
    <row r="2204" spans="1:6" ht="28.8" x14ac:dyDescent="0.3">
      <c r="A2204" s="2">
        <v>2203</v>
      </c>
      <c r="B2204" s="1" t="s">
        <v>4684</v>
      </c>
      <c r="C2204" s="1" t="s">
        <v>4663</v>
      </c>
      <c r="D2204" s="1" t="s">
        <v>4664</v>
      </c>
      <c r="E2204" s="1" t="s">
        <v>4685</v>
      </c>
      <c r="F2204" s="1" t="str">
        <f>HYPERLINK("https://talan.bank.gov.ua/get-user-certificate/J53252i_pVLIBZc1LloY","Завантажити сертифікат")</f>
        <v>Завантажити сертифікат</v>
      </c>
    </row>
    <row r="2205" spans="1:6" ht="28.8" x14ac:dyDescent="0.3">
      <c r="A2205" s="2">
        <v>2204</v>
      </c>
      <c r="B2205" s="1" t="s">
        <v>4686</v>
      </c>
      <c r="C2205" s="1" t="s">
        <v>4663</v>
      </c>
      <c r="D2205" s="1" t="s">
        <v>4664</v>
      </c>
      <c r="E2205" s="1" t="s">
        <v>4687</v>
      </c>
      <c r="F2205" s="1" t="str">
        <f>HYPERLINK("https://talan.bank.gov.ua/get-user-certificate/J5325PYF-d8FVJIJGXTc","Завантажити сертифікат")</f>
        <v>Завантажити сертифікат</v>
      </c>
    </row>
    <row r="2206" spans="1:6" ht="28.8" x14ac:dyDescent="0.3">
      <c r="A2206" s="2">
        <v>2205</v>
      </c>
      <c r="B2206" s="1" t="s">
        <v>4688</v>
      </c>
      <c r="C2206" s="1" t="s">
        <v>4663</v>
      </c>
      <c r="D2206" s="1" t="s">
        <v>4664</v>
      </c>
      <c r="E2206" s="1" t="s">
        <v>4689</v>
      </c>
      <c r="F2206" s="1" t="str">
        <f>HYPERLINK("https://talan.bank.gov.ua/get-user-certificate/J5325ezn7xpTBfIH6rrc","Завантажити сертифікат")</f>
        <v>Завантажити сертифікат</v>
      </c>
    </row>
    <row r="2207" spans="1:6" ht="28.8" x14ac:dyDescent="0.3">
      <c r="A2207" s="2">
        <v>2206</v>
      </c>
      <c r="B2207" s="1" t="s">
        <v>4690</v>
      </c>
      <c r="C2207" s="1" t="s">
        <v>4663</v>
      </c>
      <c r="D2207" s="1" t="s">
        <v>4664</v>
      </c>
      <c r="E2207" s="1" t="s">
        <v>4691</v>
      </c>
      <c r="F2207" s="1" t="str">
        <f>HYPERLINK("https://talan.bank.gov.ua/get-user-certificate/J5325-auEroRwo6S3ZCM","Завантажити сертифікат")</f>
        <v>Завантажити сертифікат</v>
      </c>
    </row>
    <row r="2208" spans="1:6" ht="28.8" x14ac:dyDescent="0.3">
      <c r="A2208" s="2">
        <v>2207</v>
      </c>
      <c r="B2208" s="1" t="s">
        <v>4692</v>
      </c>
      <c r="C2208" s="1" t="s">
        <v>4663</v>
      </c>
      <c r="D2208" s="1" t="s">
        <v>4664</v>
      </c>
      <c r="E2208" s="1" t="s">
        <v>4693</v>
      </c>
      <c r="F2208" s="1" t="str">
        <f>HYPERLINK("https://talan.bank.gov.ua/get-user-certificate/J5325HHvCpjbYPO0tU4n","Завантажити сертифікат")</f>
        <v>Завантажити сертифікат</v>
      </c>
    </row>
    <row r="2209" spans="1:6" ht="28.8" x14ac:dyDescent="0.3">
      <c r="A2209" s="2">
        <v>2208</v>
      </c>
      <c r="B2209" s="1" t="s">
        <v>4694</v>
      </c>
      <c r="C2209" s="1" t="s">
        <v>4663</v>
      </c>
      <c r="D2209" s="1" t="s">
        <v>4664</v>
      </c>
      <c r="E2209" s="1" t="s">
        <v>4695</v>
      </c>
      <c r="F2209" s="1" t="str">
        <f>HYPERLINK("https://talan.bank.gov.ua/get-user-certificate/J5325oVCX5Rs_Pk7PCcm","Завантажити сертифікат")</f>
        <v>Завантажити сертифікат</v>
      </c>
    </row>
    <row r="2210" spans="1:6" ht="28.8" x14ac:dyDescent="0.3">
      <c r="A2210" s="2">
        <v>2209</v>
      </c>
      <c r="B2210" s="1" t="s">
        <v>4696</v>
      </c>
      <c r="C2210" s="1" t="s">
        <v>4663</v>
      </c>
      <c r="D2210" s="1" t="s">
        <v>4664</v>
      </c>
      <c r="E2210" s="1" t="s">
        <v>4697</v>
      </c>
      <c r="F2210" s="1" t="str">
        <f>HYPERLINK("https://talan.bank.gov.ua/get-user-certificate/J5325heKXmGpDT5XyFJV","Завантажити сертифікат")</f>
        <v>Завантажити сертифікат</v>
      </c>
    </row>
    <row r="2211" spans="1:6" ht="28.8" x14ac:dyDescent="0.3">
      <c r="A2211" s="2">
        <v>2210</v>
      </c>
      <c r="B2211" s="1" t="s">
        <v>4698</v>
      </c>
      <c r="C2211" s="1" t="s">
        <v>4663</v>
      </c>
      <c r="D2211" s="1" t="s">
        <v>4664</v>
      </c>
      <c r="E2211" s="1" t="s">
        <v>4699</v>
      </c>
      <c r="F2211" s="1" t="str">
        <f>HYPERLINK("https://talan.bank.gov.ua/get-user-certificate/J53257NISWUGuGqjWAJO","Завантажити сертифікат")</f>
        <v>Завантажити сертифікат</v>
      </c>
    </row>
    <row r="2212" spans="1:6" x14ac:dyDescent="0.3">
      <c r="A2212" s="2">
        <v>2211</v>
      </c>
      <c r="B2212" s="1" t="s">
        <v>4700</v>
      </c>
      <c r="C2212" s="1" t="s">
        <v>4701</v>
      </c>
      <c r="D2212" s="1" t="s">
        <v>4702</v>
      </c>
      <c r="E2212" s="1" t="s">
        <v>4703</v>
      </c>
      <c r="F2212" s="1" t="str">
        <f>HYPERLINK("https://talan.bank.gov.ua/get-user-certificate/J5325EgNMD8A79Actlw1","Завантажити сертифікат")</f>
        <v>Завантажити сертифікат</v>
      </c>
    </row>
    <row r="2213" spans="1:6" x14ac:dyDescent="0.3">
      <c r="A2213" s="2">
        <v>2212</v>
      </c>
      <c r="B2213" s="1" t="s">
        <v>4704</v>
      </c>
      <c r="C2213" s="1" t="s">
        <v>4701</v>
      </c>
      <c r="D2213" s="1" t="s">
        <v>4702</v>
      </c>
      <c r="E2213" s="1" t="s">
        <v>4705</v>
      </c>
      <c r="F2213" s="1" t="str">
        <f>HYPERLINK("https://talan.bank.gov.ua/get-user-certificate/J5325qgcwIa7ECShK_lT","Завантажити сертифікат")</f>
        <v>Завантажити сертифікат</v>
      </c>
    </row>
    <row r="2214" spans="1:6" x14ac:dyDescent="0.3">
      <c r="A2214" s="2">
        <v>2213</v>
      </c>
      <c r="B2214" s="1" t="s">
        <v>4706</v>
      </c>
      <c r="C2214" s="1" t="s">
        <v>4701</v>
      </c>
      <c r="D2214" s="1" t="s">
        <v>4702</v>
      </c>
      <c r="E2214" s="1" t="s">
        <v>4707</v>
      </c>
      <c r="F2214" s="1" t="str">
        <f>HYPERLINK("https://talan.bank.gov.ua/get-user-certificate/J5325_zqZf24Ijw6Lehz","Завантажити сертифікат")</f>
        <v>Завантажити сертифікат</v>
      </c>
    </row>
    <row r="2215" spans="1:6" x14ac:dyDescent="0.3">
      <c r="A2215" s="2">
        <v>2214</v>
      </c>
      <c r="B2215" s="1" t="s">
        <v>4708</v>
      </c>
      <c r="C2215" s="1" t="s">
        <v>4701</v>
      </c>
      <c r="D2215" s="1" t="s">
        <v>4702</v>
      </c>
      <c r="E2215" s="1" t="s">
        <v>4709</v>
      </c>
      <c r="F2215" s="1" t="str">
        <f>HYPERLINK("https://talan.bank.gov.ua/get-user-certificate/J5325WkAO9O9DX4ZyxhY","Завантажити сертифікат")</f>
        <v>Завантажити сертифікат</v>
      </c>
    </row>
    <row r="2216" spans="1:6" x14ac:dyDescent="0.3">
      <c r="A2216" s="2">
        <v>2215</v>
      </c>
      <c r="B2216" s="1" t="s">
        <v>4710</v>
      </c>
      <c r="C2216" s="1" t="s">
        <v>4701</v>
      </c>
      <c r="D2216" s="1" t="s">
        <v>4702</v>
      </c>
      <c r="E2216" s="1" t="s">
        <v>4711</v>
      </c>
      <c r="F2216" s="1" t="str">
        <f>HYPERLINK("https://talan.bank.gov.ua/get-user-certificate/J5325BcKDuuKTcvEc1Vh","Завантажити сертифікат")</f>
        <v>Завантажити сертифікат</v>
      </c>
    </row>
    <row r="2217" spans="1:6" x14ac:dyDescent="0.3">
      <c r="A2217" s="2">
        <v>2216</v>
      </c>
      <c r="B2217" s="1" t="s">
        <v>4712</v>
      </c>
      <c r="C2217" s="1" t="s">
        <v>4701</v>
      </c>
      <c r="D2217" s="1" t="s">
        <v>4702</v>
      </c>
      <c r="E2217" s="1" t="s">
        <v>4713</v>
      </c>
      <c r="F2217" s="1" t="str">
        <f>HYPERLINK("https://talan.bank.gov.ua/get-user-certificate/J5325OEB98eMvm_67gns","Завантажити сертифікат")</f>
        <v>Завантажити сертифікат</v>
      </c>
    </row>
    <row r="2218" spans="1:6" x14ac:dyDescent="0.3">
      <c r="A2218" s="2">
        <v>2217</v>
      </c>
      <c r="B2218" s="1" t="s">
        <v>4714</v>
      </c>
      <c r="C2218" s="1" t="s">
        <v>4701</v>
      </c>
      <c r="D2218" s="1" t="s">
        <v>4702</v>
      </c>
      <c r="E2218" s="1" t="s">
        <v>4715</v>
      </c>
      <c r="F2218" s="1" t="str">
        <f>HYPERLINK("https://talan.bank.gov.ua/get-user-certificate/J53258cJetrg-z0OHzc0","Завантажити сертифікат")</f>
        <v>Завантажити сертифікат</v>
      </c>
    </row>
    <row r="2219" spans="1:6" x14ac:dyDescent="0.3">
      <c r="A2219" s="2">
        <v>2218</v>
      </c>
      <c r="B2219" s="1" t="s">
        <v>4716</v>
      </c>
      <c r="C2219" s="1" t="s">
        <v>4701</v>
      </c>
      <c r="D2219" s="1" t="s">
        <v>4702</v>
      </c>
      <c r="E2219" s="1" t="s">
        <v>4717</v>
      </c>
      <c r="F2219" s="1" t="str">
        <f>HYPERLINK("https://talan.bank.gov.ua/get-user-certificate/J5325cPGWd8um8YUnENh","Завантажити сертифікат")</f>
        <v>Завантажити сертифікат</v>
      </c>
    </row>
    <row r="2220" spans="1:6" x14ac:dyDescent="0.3">
      <c r="A2220" s="2">
        <v>2219</v>
      </c>
      <c r="B2220" s="1" t="s">
        <v>4718</v>
      </c>
      <c r="C2220" s="1" t="s">
        <v>4701</v>
      </c>
      <c r="D2220" s="1" t="s">
        <v>4702</v>
      </c>
      <c r="E2220" s="1" t="s">
        <v>4719</v>
      </c>
      <c r="F2220" s="1" t="str">
        <f>HYPERLINK("https://talan.bank.gov.ua/get-user-certificate/J5325_8Gp_MqPmiBQsh6","Завантажити сертифікат")</f>
        <v>Завантажити сертифікат</v>
      </c>
    </row>
    <row r="2221" spans="1:6" x14ac:dyDescent="0.3">
      <c r="A2221" s="2">
        <v>2220</v>
      </c>
      <c r="B2221" s="1" t="s">
        <v>4720</v>
      </c>
      <c r="C2221" s="1" t="s">
        <v>4701</v>
      </c>
      <c r="D2221" s="1" t="s">
        <v>4702</v>
      </c>
      <c r="E2221" s="1" t="s">
        <v>4721</v>
      </c>
      <c r="F2221" s="1" t="str">
        <f>HYPERLINK("https://talan.bank.gov.ua/get-user-certificate/J5325LMM3QuU6WYDsbOg","Завантажити сертифікат")</f>
        <v>Завантажити сертифікат</v>
      </c>
    </row>
    <row r="2222" spans="1:6" x14ac:dyDescent="0.3">
      <c r="A2222" s="2">
        <v>2221</v>
      </c>
      <c r="B2222" s="1" t="s">
        <v>4722</v>
      </c>
      <c r="C2222" s="1" t="s">
        <v>4701</v>
      </c>
      <c r="D2222" s="1" t="s">
        <v>4702</v>
      </c>
      <c r="E2222" s="1" t="s">
        <v>4723</v>
      </c>
      <c r="F2222" s="1" t="str">
        <f>HYPERLINK("https://talan.bank.gov.ua/get-user-certificate/J5325p2mhxylJsX7fLe5","Завантажити сертифікат")</f>
        <v>Завантажити сертифікат</v>
      </c>
    </row>
    <row r="2223" spans="1:6" x14ac:dyDescent="0.3">
      <c r="A2223" s="2">
        <v>2222</v>
      </c>
      <c r="B2223" s="1" t="s">
        <v>4724</v>
      </c>
      <c r="C2223" s="1" t="s">
        <v>4701</v>
      </c>
      <c r="D2223" s="1" t="s">
        <v>4702</v>
      </c>
      <c r="E2223" s="1" t="s">
        <v>4725</v>
      </c>
      <c r="F2223" s="1" t="str">
        <f>HYPERLINK("https://talan.bank.gov.ua/get-user-certificate/J5325UC0KcBwZzmXhzR9","Завантажити сертифікат")</f>
        <v>Завантажити сертифікат</v>
      </c>
    </row>
    <row r="2224" spans="1:6" x14ac:dyDescent="0.3">
      <c r="A2224" s="2">
        <v>2223</v>
      </c>
      <c r="B2224" s="1" t="s">
        <v>4726</v>
      </c>
      <c r="C2224" s="1" t="s">
        <v>4701</v>
      </c>
      <c r="D2224" s="1" t="s">
        <v>4702</v>
      </c>
      <c r="E2224" s="1" t="s">
        <v>4727</v>
      </c>
      <c r="F2224" s="1" t="str">
        <f>HYPERLINK("https://talan.bank.gov.ua/get-user-certificate/J5325prQmm7u6ENHrU5c","Завантажити сертифікат")</f>
        <v>Завантажити сертифікат</v>
      </c>
    </row>
    <row r="2225" spans="1:6" x14ac:dyDescent="0.3">
      <c r="A2225" s="2">
        <v>2224</v>
      </c>
      <c r="B2225" s="1" t="s">
        <v>4728</v>
      </c>
      <c r="C2225" s="1" t="s">
        <v>4701</v>
      </c>
      <c r="D2225" s="1" t="s">
        <v>4702</v>
      </c>
      <c r="E2225" s="1" t="s">
        <v>4729</v>
      </c>
      <c r="F2225" s="1" t="str">
        <f>HYPERLINK("https://talan.bank.gov.ua/get-user-certificate/J5325wgTCcTH1zYZkJXR","Завантажити сертифікат")</f>
        <v>Завантажити сертифікат</v>
      </c>
    </row>
    <row r="2226" spans="1:6" x14ac:dyDescent="0.3">
      <c r="A2226" s="2">
        <v>2225</v>
      </c>
      <c r="B2226" s="1" t="s">
        <v>4730</v>
      </c>
      <c r="C2226" s="1" t="s">
        <v>4701</v>
      </c>
      <c r="D2226" s="1" t="s">
        <v>4702</v>
      </c>
      <c r="E2226" s="1" t="s">
        <v>4731</v>
      </c>
      <c r="F2226" s="1" t="str">
        <f>HYPERLINK("https://talan.bank.gov.ua/get-user-certificate/J5325talO4Udx2SD9T7S","Завантажити сертифікат")</f>
        <v>Завантажити сертифікат</v>
      </c>
    </row>
    <row r="2227" spans="1:6" x14ac:dyDescent="0.3">
      <c r="A2227" s="2">
        <v>2226</v>
      </c>
      <c r="B2227" s="1" t="s">
        <v>4732</v>
      </c>
      <c r="C2227" s="1" t="s">
        <v>4701</v>
      </c>
      <c r="D2227" s="1" t="s">
        <v>4702</v>
      </c>
      <c r="E2227" s="1" t="s">
        <v>4733</v>
      </c>
      <c r="F2227" s="1" t="str">
        <f>HYPERLINK("https://talan.bank.gov.ua/get-user-certificate/J5325Z2YD9aZ-OJlSvpQ","Завантажити сертифікат")</f>
        <v>Завантажити сертифікат</v>
      </c>
    </row>
    <row r="2228" spans="1:6" ht="28.8" x14ac:dyDescent="0.3">
      <c r="A2228" s="2">
        <v>2227</v>
      </c>
      <c r="B2228" s="1" t="s">
        <v>4734</v>
      </c>
      <c r="C2228" s="1" t="s">
        <v>4735</v>
      </c>
      <c r="D2228" s="1" t="s">
        <v>4736</v>
      </c>
      <c r="E2228" s="1" t="s">
        <v>4737</v>
      </c>
      <c r="F2228" s="1" t="str">
        <f>HYPERLINK("https://talan.bank.gov.ua/get-user-certificate/J5325x8gNuFduIAQyJxc","Завантажити сертифікат")</f>
        <v>Завантажити сертифікат</v>
      </c>
    </row>
    <row r="2229" spans="1:6" ht="28.8" x14ac:dyDescent="0.3">
      <c r="A2229" s="2">
        <v>2228</v>
      </c>
      <c r="B2229" s="1" t="s">
        <v>4738</v>
      </c>
      <c r="C2229" s="1" t="s">
        <v>4735</v>
      </c>
      <c r="D2229" s="1" t="s">
        <v>4736</v>
      </c>
      <c r="E2229" s="1" t="s">
        <v>4739</v>
      </c>
      <c r="F2229" s="1" t="str">
        <f>HYPERLINK("https://talan.bank.gov.ua/get-user-certificate/J5325wE5yQw2N0p9925n","Завантажити сертифікат")</f>
        <v>Завантажити сертифікат</v>
      </c>
    </row>
    <row r="2230" spans="1:6" ht="28.8" x14ac:dyDescent="0.3">
      <c r="A2230" s="2">
        <v>2229</v>
      </c>
      <c r="B2230" s="1" t="s">
        <v>4740</v>
      </c>
      <c r="C2230" s="1" t="s">
        <v>4735</v>
      </c>
      <c r="D2230" s="1" t="s">
        <v>4736</v>
      </c>
      <c r="E2230" s="1" t="s">
        <v>4741</v>
      </c>
      <c r="F2230" s="1" t="str">
        <f>HYPERLINK("https://talan.bank.gov.ua/get-user-certificate/J5325Guw075tPapIZyye","Завантажити сертифікат")</f>
        <v>Завантажити сертифікат</v>
      </c>
    </row>
    <row r="2231" spans="1:6" ht="28.8" x14ac:dyDescent="0.3">
      <c r="A2231" s="2">
        <v>2230</v>
      </c>
      <c r="B2231" s="1" t="s">
        <v>4742</v>
      </c>
      <c r="C2231" s="1" t="s">
        <v>4735</v>
      </c>
      <c r="D2231" s="1" t="s">
        <v>4736</v>
      </c>
      <c r="E2231" s="1" t="s">
        <v>4743</v>
      </c>
      <c r="F2231" s="1" t="str">
        <f>HYPERLINK("https://talan.bank.gov.ua/get-user-certificate/J5325qAIDMMiHi4g6M61","Завантажити сертифікат")</f>
        <v>Завантажити сертифікат</v>
      </c>
    </row>
    <row r="2232" spans="1:6" ht="28.8" x14ac:dyDescent="0.3">
      <c r="A2232" s="2">
        <v>2231</v>
      </c>
      <c r="B2232" s="1" t="s">
        <v>4744</v>
      </c>
      <c r="C2232" s="1" t="s">
        <v>4735</v>
      </c>
      <c r="D2232" s="1" t="s">
        <v>4736</v>
      </c>
      <c r="E2232" s="1" t="s">
        <v>4745</v>
      </c>
      <c r="F2232" s="1" t="str">
        <f>HYPERLINK("https://talan.bank.gov.ua/get-user-certificate/J5325FKAQImw4K6K8SIU","Завантажити сертифікат")</f>
        <v>Завантажити сертифікат</v>
      </c>
    </row>
    <row r="2233" spans="1:6" ht="28.8" x14ac:dyDescent="0.3">
      <c r="A2233" s="2">
        <v>2232</v>
      </c>
      <c r="B2233" s="1" t="s">
        <v>4746</v>
      </c>
      <c r="C2233" s="1" t="s">
        <v>4735</v>
      </c>
      <c r="D2233" s="1" t="s">
        <v>4736</v>
      </c>
      <c r="E2233" s="1" t="s">
        <v>4747</v>
      </c>
      <c r="F2233" s="1" t="str">
        <f>HYPERLINK("https://talan.bank.gov.ua/get-user-certificate/J5325g9_tOZ4NubKxUd0","Завантажити сертифікат")</f>
        <v>Завантажити сертифікат</v>
      </c>
    </row>
    <row r="2234" spans="1:6" ht="28.8" x14ac:dyDescent="0.3">
      <c r="A2234" s="2">
        <v>2233</v>
      </c>
      <c r="B2234" s="1" t="s">
        <v>4748</v>
      </c>
      <c r="C2234" s="1" t="s">
        <v>4735</v>
      </c>
      <c r="D2234" s="1" t="s">
        <v>4736</v>
      </c>
      <c r="E2234" s="1" t="s">
        <v>4749</v>
      </c>
      <c r="F2234" s="1" t="str">
        <f>HYPERLINK("https://talan.bank.gov.ua/get-user-certificate/J5325uLuFvR6RU3BIzm9","Завантажити сертифікат")</f>
        <v>Завантажити сертифікат</v>
      </c>
    </row>
    <row r="2235" spans="1:6" ht="28.8" x14ac:dyDescent="0.3">
      <c r="A2235" s="2">
        <v>2234</v>
      </c>
      <c r="B2235" s="1" t="s">
        <v>4750</v>
      </c>
      <c r="C2235" s="1" t="s">
        <v>4735</v>
      </c>
      <c r="D2235" s="1" t="s">
        <v>4736</v>
      </c>
      <c r="E2235" s="1" t="s">
        <v>4751</v>
      </c>
      <c r="F2235" s="1" t="str">
        <f>HYPERLINK("https://talan.bank.gov.ua/get-user-certificate/J5325TP9QZ5IAy9Z-Th8","Завантажити сертифікат")</f>
        <v>Завантажити сертифікат</v>
      </c>
    </row>
    <row r="2236" spans="1:6" ht="28.8" x14ac:dyDescent="0.3">
      <c r="A2236" s="2">
        <v>2235</v>
      </c>
      <c r="B2236" s="1" t="s">
        <v>4752</v>
      </c>
      <c r="C2236" s="1" t="s">
        <v>4735</v>
      </c>
      <c r="D2236" s="1" t="s">
        <v>4736</v>
      </c>
      <c r="E2236" s="1" t="s">
        <v>4753</v>
      </c>
      <c r="F2236" s="1" t="str">
        <f>HYPERLINK("https://talan.bank.gov.ua/get-user-certificate/J5325IXSPfdJi-_Ez0m9","Завантажити сертифікат")</f>
        <v>Завантажити сертифікат</v>
      </c>
    </row>
    <row r="2237" spans="1:6" ht="28.8" x14ac:dyDescent="0.3">
      <c r="A2237" s="2">
        <v>2236</v>
      </c>
      <c r="B2237" s="1" t="s">
        <v>4754</v>
      </c>
      <c r="C2237" s="1" t="s">
        <v>4735</v>
      </c>
      <c r="D2237" s="1" t="s">
        <v>4736</v>
      </c>
      <c r="E2237" s="1" t="s">
        <v>4755</v>
      </c>
      <c r="F2237" s="1" t="str">
        <f>HYPERLINK("https://talan.bank.gov.ua/get-user-certificate/J5325DN-B2o_Ta9ox5f_","Завантажити сертифікат")</f>
        <v>Завантажити сертифікат</v>
      </c>
    </row>
    <row r="2238" spans="1:6" ht="28.8" x14ac:dyDescent="0.3">
      <c r="A2238" s="2">
        <v>2237</v>
      </c>
      <c r="B2238" s="1" t="s">
        <v>4756</v>
      </c>
      <c r="C2238" s="1" t="s">
        <v>4735</v>
      </c>
      <c r="D2238" s="1" t="s">
        <v>4736</v>
      </c>
      <c r="E2238" s="1" t="s">
        <v>4757</v>
      </c>
      <c r="F2238" s="1" t="str">
        <f>HYPERLINK("https://talan.bank.gov.ua/get-user-certificate/J5325w7upjUwG_ywZwy5","Завантажити сертифікат")</f>
        <v>Завантажити сертифікат</v>
      </c>
    </row>
    <row r="2239" spans="1:6" ht="28.8" x14ac:dyDescent="0.3">
      <c r="A2239" s="2">
        <v>2238</v>
      </c>
      <c r="B2239" s="1" t="s">
        <v>4758</v>
      </c>
      <c r="C2239" s="1" t="s">
        <v>4735</v>
      </c>
      <c r="D2239" s="1" t="s">
        <v>4736</v>
      </c>
      <c r="E2239" s="1" t="s">
        <v>4759</v>
      </c>
      <c r="F2239" s="1" t="str">
        <f>HYPERLINK("https://talan.bank.gov.ua/get-user-certificate/J5325wVEv5SyiC9nl9uh","Завантажити сертифікат")</f>
        <v>Завантажити сертифікат</v>
      </c>
    </row>
    <row r="2240" spans="1:6" ht="28.8" x14ac:dyDescent="0.3">
      <c r="A2240" s="2">
        <v>2239</v>
      </c>
      <c r="B2240" s="1" t="s">
        <v>4760</v>
      </c>
      <c r="C2240" s="1" t="s">
        <v>4735</v>
      </c>
      <c r="D2240" s="1" t="s">
        <v>4736</v>
      </c>
      <c r="E2240" s="1" t="s">
        <v>4761</v>
      </c>
      <c r="F2240" s="1" t="str">
        <f>HYPERLINK("https://talan.bank.gov.ua/get-user-certificate/J5325iL6p-Xpgup2-XuI","Завантажити сертифікат")</f>
        <v>Завантажити сертифікат</v>
      </c>
    </row>
    <row r="2241" spans="1:6" ht="28.8" x14ac:dyDescent="0.3">
      <c r="A2241" s="2">
        <v>2240</v>
      </c>
      <c r="B2241" s="1" t="s">
        <v>4762</v>
      </c>
      <c r="C2241" s="1" t="s">
        <v>4735</v>
      </c>
      <c r="D2241" s="1" t="s">
        <v>4736</v>
      </c>
      <c r="E2241" s="1" t="s">
        <v>4763</v>
      </c>
      <c r="F2241" s="1" t="str">
        <f>HYPERLINK("https://talan.bank.gov.ua/get-user-certificate/J5325FQLS8G4Aergtaqq","Завантажити сертифікат")</f>
        <v>Завантажити сертифікат</v>
      </c>
    </row>
    <row r="2242" spans="1:6" ht="28.8" x14ac:dyDescent="0.3">
      <c r="A2242" s="2">
        <v>2241</v>
      </c>
      <c r="B2242" s="1" t="s">
        <v>4764</v>
      </c>
      <c r="C2242" s="1" t="s">
        <v>4735</v>
      </c>
      <c r="D2242" s="1" t="s">
        <v>4736</v>
      </c>
      <c r="E2242" s="1" t="s">
        <v>4765</v>
      </c>
      <c r="F2242" s="1" t="str">
        <f>HYPERLINK("https://talan.bank.gov.ua/get-user-certificate/J5325-EyBpCC3AwRQBmA","Завантажити сертифікат")</f>
        <v>Завантажити сертифікат</v>
      </c>
    </row>
    <row r="2243" spans="1:6" ht="28.8" x14ac:dyDescent="0.3">
      <c r="A2243" s="2">
        <v>2242</v>
      </c>
      <c r="B2243" s="1" t="s">
        <v>4766</v>
      </c>
      <c r="C2243" s="1" t="s">
        <v>4735</v>
      </c>
      <c r="D2243" s="1" t="s">
        <v>4736</v>
      </c>
      <c r="E2243" s="1" t="s">
        <v>4767</v>
      </c>
      <c r="F2243" s="1" t="str">
        <f>HYPERLINK("https://talan.bank.gov.ua/get-user-certificate/J5325dE8eG_FtzAV2aBv","Завантажити сертифікат")</f>
        <v>Завантажити сертифікат</v>
      </c>
    </row>
    <row r="2244" spans="1:6" ht="28.8" x14ac:dyDescent="0.3">
      <c r="A2244" s="2">
        <v>2243</v>
      </c>
      <c r="B2244" s="1" t="s">
        <v>4768</v>
      </c>
      <c r="C2244" s="1" t="s">
        <v>4735</v>
      </c>
      <c r="D2244" s="1" t="s">
        <v>4736</v>
      </c>
      <c r="E2244" s="1" t="s">
        <v>4769</v>
      </c>
      <c r="F2244" s="1" t="str">
        <f>HYPERLINK("https://talan.bank.gov.ua/get-user-certificate/J5325jqK_3Mn8Iiu9wCy","Завантажити сертифікат")</f>
        <v>Завантажити сертифікат</v>
      </c>
    </row>
    <row r="2245" spans="1:6" ht="28.8" x14ac:dyDescent="0.3">
      <c r="A2245" s="2">
        <v>2244</v>
      </c>
      <c r="B2245" s="1" t="s">
        <v>4770</v>
      </c>
      <c r="C2245" s="1" t="s">
        <v>4735</v>
      </c>
      <c r="D2245" s="1" t="s">
        <v>4736</v>
      </c>
      <c r="E2245" s="1" t="s">
        <v>4771</v>
      </c>
      <c r="F2245" s="1" t="str">
        <f>HYPERLINK("https://talan.bank.gov.ua/get-user-certificate/J5325BYjDtHoLq_tthww","Завантажити сертифікат")</f>
        <v>Завантажити сертифікат</v>
      </c>
    </row>
    <row r="2246" spans="1:6" ht="28.8" x14ac:dyDescent="0.3">
      <c r="A2246" s="2">
        <v>2245</v>
      </c>
      <c r="B2246" s="1" t="s">
        <v>4772</v>
      </c>
      <c r="C2246" s="1" t="s">
        <v>4735</v>
      </c>
      <c r="D2246" s="1" t="s">
        <v>4736</v>
      </c>
      <c r="E2246" s="1" t="s">
        <v>4773</v>
      </c>
      <c r="F2246" s="1" t="str">
        <f>HYPERLINK("https://talan.bank.gov.ua/get-user-certificate/J5325B8h1My9EQSoArAy","Завантажити сертифікат")</f>
        <v>Завантажити сертифікат</v>
      </c>
    </row>
    <row r="2247" spans="1:6" ht="28.8" x14ac:dyDescent="0.3">
      <c r="A2247" s="2">
        <v>2246</v>
      </c>
      <c r="B2247" s="1" t="s">
        <v>4774</v>
      </c>
      <c r="C2247" s="1" t="s">
        <v>4735</v>
      </c>
      <c r="D2247" s="1" t="s">
        <v>4736</v>
      </c>
      <c r="E2247" s="1" t="s">
        <v>4775</v>
      </c>
      <c r="F2247" s="1" t="str">
        <f>HYPERLINK("https://talan.bank.gov.ua/get-user-certificate/J5325g3RGiLgLdee1YIo","Завантажити сертифікат")</f>
        <v>Завантажити сертифікат</v>
      </c>
    </row>
    <row r="2248" spans="1:6" ht="28.8" x14ac:dyDescent="0.3">
      <c r="A2248" s="2">
        <v>2247</v>
      </c>
      <c r="B2248" s="1" t="s">
        <v>4776</v>
      </c>
      <c r="C2248" s="1" t="s">
        <v>4735</v>
      </c>
      <c r="D2248" s="1" t="s">
        <v>4736</v>
      </c>
      <c r="E2248" s="1" t="s">
        <v>4777</v>
      </c>
      <c r="F2248" s="1" t="str">
        <f>HYPERLINK("https://talan.bank.gov.ua/get-user-certificate/J5325ucefadmPTsFbPCh","Завантажити сертифікат")</f>
        <v>Завантажити сертифікат</v>
      </c>
    </row>
    <row r="2249" spans="1:6" ht="28.8" x14ac:dyDescent="0.3">
      <c r="A2249" s="2">
        <v>2248</v>
      </c>
      <c r="B2249" s="1" t="s">
        <v>4778</v>
      </c>
      <c r="C2249" s="1" t="s">
        <v>4735</v>
      </c>
      <c r="D2249" s="1" t="s">
        <v>4736</v>
      </c>
      <c r="E2249" s="1" t="s">
        <v>4779</v>
      </c>
      <c r="F2249" s="1" t="str">
        <f>HYPERLINK("https://talan.bank.gov.ua/get-user-certificate/J5325gS_I7hax3sS9sED","Завантажити сертифікат")</f>
        <v>Завантажити сертифікат</v>
      </c>
    </row>
    <row r="2250" spans="1:6" ht="28.8" x14ac:dyDescent="0.3">
      <c r="A2250" s="2">
        <v>2249</v>
      </c>
      <c r="B2250" s="1" t="s">
        <v>4780</v>
      </c>
      <c r="C2250" s="1" t="s">
        <v>4735</v>
      </c>
      <c r="D2250" s="1" t="s">
        <v>4736</v>
      </c>
      <c r="E2250" s="1" t="s">
        <v>4781</v>
      </c>
      <c r="F2250" s="1" t="str">
        <f>HYPERLINK("https://talan.bank.gov.ua/get-user-certificate/J5325AkgXk_q5F9PmbcA","Завантажити сертифікат")</f>
        <v>Завантажити сертифікат</v>
      </c>
    </row>
    <row r="2251" spans="1:6" x14ac:dyDescent="0.3">
      <c r="A2251" s="2">
        <v>2250</v>
      </c>
      <c r="B2251" s="1" t="s">
        <v>4782</v>
      </c>
      <c r="C2251" s="1" t="s">
        <v>4783</v>
      </c>
      <c r="D2251" s="1" t="s">
        <v>4784</v>
      </c>
      <c r="E2251" s="1" t="s">
        <v>4785</v>
      </c>
      <c r="F2251" s="1" t="str">
        <f>HYPERLINK("https://talan.bank.gov.ua/get-user-certificate/J5325hdns-nah-GGJfZb","Завантажити сертифікат")</f>
        <v>Завантажити сертифікат</v>
      </c>
    </row>
    <row r="2252" spans="1:6" x14ac:dyDescent="0.3">
      <c r="A2252" s="2">
        <v>2251</v>
      </c>
      <c r="B2252" s="1" t="s">
        <v>4786</v>
      </c>
      <c r="C2252" s="1" t="s">
        <v>4783</v>
      </c>
      <c r="D2252" s="1" t="s">
        <v>4784</v>
      </c>
      <c r="E2252" s="1" t="s">
        <v>4787</v>
      </c>
      <c r="F2252" s="1" t="str">
        <f>HYPERLINK("https://talan.bank.gov.ua/get-user-certificate/J5325fhUWPOJuP37oteq","Завантажити сертифікат")</f>
        <v>Завантажити сертифікат</v>
      </c>
    </row>
    <row r="2253" spans="1:6" x14ac:dyDescent="0.3">
      <c r="A2253" s="2">
        <v>2252</v>
      </c>
      <c r="B2253" s="1" t="s">
        <v>4788</v>
      </c>
      <c r="C2253" s="1" t="s">
        <v>4783</v>
      </c>
      <c r="D2253" s="1" t="s">
        <v>4784</v>
      </c>
      <c r="E2253" s="1" t="s">
        <v>4789</v>
      </c>
      <c r="F2253" s="1" t="str">
        <f>HYPERLINK("https://talan.bank.gov.ua/get-user-certificate/J5325kFb3YmnOezQ79wj","Завантажити сертифікат")</f>
        <v>Завантажити сертифікат</v>
      </c>
    </row>
    <row r="2254" spans="1:6" ht="28.8" x14ac:dyDescent="0.3">
      <c r="A2254" s="2">
        <v>2253</v>
      </c>
      <c r="B2254" s="1" t="s">
        <v>4790</v>
      </c>
      <c r="C2254" s="1" t="s">
        <v>4791</v>
      </c>
      <c r="D2254" s="1" t="s">
        <v>4792</v>
      </c>
      <c r="E2254" s="1" t="s">
        <v>4793</v>
      </c>
      <c r="F2254" s="1" t="str">
        <f>HYPERLINK("https://talan.bank.gov.ua/get-user-certificate/J5325bHzT8XvjBlNsl3v","Завантажити сертифікат")</f>
        <v>Завантажити сертифікат</v>
      </c>
    </row>
    <row r="2255" spans="1:6" ht="28.8" x14ac:dyDescent="0.3">
      <c r="A2255" s="2">
        <v>2254</v>
      </c>
      <c r="B2255" s="1" t="s">
        <v>4794</v>
      </c>
      <c r="C2255" s="1" t="s">
        <v>4791</v>
      </c>
      <c r="D2255" s="1" t="s">
        <v>4792</v>
      </c>
      <c r="E2255" s="1" t="s">
        <v>4795</v>
      </c>
      <c r="F2255" s="1" t="str">
        <f>HYPERLINK("https://talan.bank.gov.ua/get-user-certificate/J5325hTqWhR63XCKDN0o","Завантажити сертифікат")</f>
        <v>Завантажити сертифікат</v>
      </c>
    </row>
    <row r="2256" spans="1:6" ht="28.8" x14ac:dyDescent="0.3">
      <c r="A2256" s="2">
        <v>2255</v>
      </c>
      <c r="B2256" s="1" t="s">
        <v>4796</v>
      </c>
      <c r="C2256" s="1" t="s">
        <v>4791</v>
      </c>
      <c r="D2256" s="1" t="s">
        <v>4792</v>
      </c>
      <c r="E2256" s="1" t="s">
        <v>4797</v>
      </c>
      <c r="F2256" s="1" t="str">
        <f>HYPERLINK("https://talan.bank.gov.ua/get-user-certificate/J5325cuChQ6Wq5kLc_V1","Завантажити сертифікат")</f>
        <v>Завантажити сертифікат</v>
      </c>
    </row>
    <row r="2257" spans="1:6" ht="28.8" x14ac:dyDescent="0.3">
      <c r="A2257" s="2">
        <v>2256</v>
      </c>
      <c r="B2257" s="1" t="s">
        <v>4798</v>
      </c>
      <c r="C2257" s="1" t="s">
        <v>4791</v>
      </c>
      <c r="D2257" s="1" t="s">
        <v>4792</v>
      </c>
      <c r="E2257" s="1" t="s">
        <v>4799</v>
      </c>
      <c r="F2257" s="1" t="str">
        <f>HYPERLINK("https://talan.bank.gov.ua/get-user-certificate/J5325pI5ac3JejkeLAoC","Завантажити сертифікат")</f>
        <v>Завантажити сертифікат</v>
      </c>
    </row>
    <row r="2258" spans="1:6" ht="28.8" x14ac:dyDescent="0.3">
      <c r="A2258" s="2">
        <v>2257</v>
      </c>
      <c r="B2258" s="1" t="s">
        <v>4800</v>
      </c>
      <c r="C2258" s="1" t="s">
        <v>4791</v>
      </c>
      <c r="D2258" s="1" t="s">
        <v>4792</v>
      </c>
      <c r="E2258" s="1" t="s">
        <v>4801</v>
      </c>
      <c r="F2258" s="1" t="str">
        <f>HYPERLINK("https://talan.bank.gov.ua/get-user-certificate/J5325fDMhw_H8DUUVHXg","Завантажити сертифікат")</f>
        <v>Завантажити сертифікат</v>
      </c>
    </row>
    <row r="2259" spans="1:6" ht="28.8" x14ac:dyDescent="0.3">
      <c r="A2259" s="2">
        <v>2258</v>
      </c>
      <c r="B2259" s="1" t="s">
        <v>4802</v>
      </c>
      <c r="C2259" s="1" t="s">
        <v>4791</v>
      </c>
      <c r="D2259" s="1" t="s">
        <v>4792</v>
      </c>
      <c r="E2259" s="1" t="s">
        <v>4803</v>
      </c>
      <c r="F2259" s="1" t="str">
        <f>HYPERLINK("https://talan.bank.gov.ua/get-user-certificate/J5325Np5yyWFikvsp5VZ","Завантажити сертифікат")</f>
        <v>Завантажити сертифікат</v>
      </c>
    </row>
    <row r="2260" spans="1:6" ht="28.8" x14ac:dyDescent="0.3">
      <c r="A2260" s="2">
        <v>2259</v>
      </c>
      <c r="B2260" s="1" t="s">
        <v>4804</v>
      </c>
      <c r="C2260" s="1" t="s">
        <v>4791</v>
      </c>
      <c r="D2260" s="1" t="s">
        <v>4792</v>
      </c>
      <c r="E2260" s="1" t="s">
        <v>4805</v>
      </c>
      <c r="F2260" s="1" t="str">
        <f>HYPERLINK("https://talan.bank.gov.ua/get-user-certificate/J5325R6YuNH8oAVkorCc","Завантажити сертифікат")</f>
        <v>Завантажити сертифікат</v>
      </c>
    </row>
    <row r="2261" spans="1:6" ht="28.8" x14ac:dyDescent="0.3">
      <c r="A2261" s="2">
        <v>2260</v>
      </c>
      <c r="B2261" s="1" t="s">
        <v>4806</v>
      </c>
      <c r="C2261" s="1" t="s">
        <v>4791</v>
      </c>
      <c r="D2261" s="1" t="s">
        <v>4792</v>
      </c>
      <c r="E2261" s="1" t="s">
        <v>4807</v>
      </c>
      <c r="F2261" s="1" t="str">
        <f>HYPERLINK("https://talan.bank.gov.ua/get-user-certificate/J5325k83R80NPhnxAPTB","Завантажити сертифікат")</f>
        <v>Завантажити сертифікат</v>
      </c>
    </row>
    <row r="2262" spans="1:6" ht="28.8" x14ac:dyDescent="0.3">
      <c r="A2262" s="2">
        <v>2261</v>
      </c>
      <c r="B2262" s="1" t="s">
        <v>4808</v>
      </c>
      <c r="C2262" s="1" t="s">
        <v>4791</v>
      </c>
      <c r="D2262" s="1" t="s">
        <v>4792</v>
      </c>
      <c r="E2262" s="1" t="s">
        <v>4809</v>
      </c>
      <c r="F2262" s="1" t="str">
        <f>HYPERLINK("https://talan.bank.gov.ua/get-user-certificate/J5325gR11aI7tmOpw_h9","Завантажити сертифікат")</f>
        <v>Завантажити сертифікат</v>
      </c>
    </row>
    <row r="2263" spans="1:6" ht="28.8" x14ac:dyDescent="0.3">
      <c r="A2263" s="2">
        <v>2262</v>
      </c>
      <c r="B2263" s="1" t="s">
        <v>4810</v>
      </c>
      <c r="C2263" s="1" t="s">
        <v>4791</v>
      </c>
      <c r="D2263" s="1" t="s">
        <v>4792</v>
      </c>
      <c r="E2263" s="1" t="s">
        <v>4811</v>
      </c>
      <c r="F2263" s="1" t="str">
        <f>HYPERLINK("https://talan.bank.gov.ua/get-user-certificate/J5325B9WhAI_iVCFdNVQ","Завантажити сертифікат")</f>
        <v>Завантажити сертифікат</v>
      </c>
    </row>
    <row r="2264" spans="1:6" ht="28.8" x14ac:dyDescent="0.3">
      <c r="A2264" s="2">
        <v>2263</v>
      </c>
      <c r="B2264" s="1" t="s">
        <v>4812</v>
      </c>
      <c r="C2264" s="1" t="s">
        <v>4791</v>
      </c>
      <c r="D2264" s="1" t="s">
        <v>4792</v>
      </c>
      <c r="E2264" s="1" t="s">
        <v>4813</v>
      </c>
      <c r="F2264" s="1" t="str">
        <f>HYPERLINK("https://talan.bank.gov.ua/get-user-certificate/J53258vzW4QKtnqf4zFM","Завантажити сертифікат")</f>
        <v>Завантажити сертифікат</v>
      </c>
    </row>
    <row r="2265" spans="1:6" ht="28.8" x14ac:dyDescent="0.3">
      <c r="A2265" s="2">
        <v>2264</v>
      </c>
      <c r="B2265" s="1" t="s">
        <v>4814</v>
      </c>
      <c r="C2265" s="1" t="s">
        <v>4791</v>
      </c>
      <c r="D2265" s="1" t="s">
        <v>4792</v>
      </c>
      <c r="E2265" s="1" t="s">
        <v>4815</v>
      </c>
      <c r="F2265" s="1" t="str">
        <f>HYPERLINK("https://talan.bank.gov.ua/get-user-certificate/J5325oWLl9w-OXg60qQD","Завантажити сертифікат")</f>
        <v>Завантажити сертифікат</v>
      </c>
    </row>
    <row r="2266" spans="1:6" ht="28.8" x14ac:dyDescent="0.3">
      <c r="A2266" s="2">
        <v>2265</v>
      </c>
      <c r="B2266" s="1" t="s">
        <v>4816</v>
      </c>
      <c r="C2266" s="1" t="s">
        <v>4791</v>
      </c>
      <c r="D2266" s="1" t="s">
        <v>4792</v>
      </c>
      <c r="E2266" s="1" t="s">
        <v>4817</v>
      </c>
      <c r="F2266" s="1" t="str">
        <f>HYPERLINK("https://talan.bank.gov.ua/get-user-certificate/J5325RM4DwaCX2HVMtrn","Завантажити сертифікат")</f>
        <v>Завантажити сертифікат</v>
      </c>
    </row>
    <row r="2267" spans="1:6" ht="28.8" x14ac:dyDescent="0.3">
      <c r="A2267" s="2">
        <v>2266</v>
      </c>
      <c r="B2267" s="1" t="s">
        <v>4818</v>
      </c>
      <c r="C2267" s="1" t="s">
        <v>4791</v>
      </c>
      <c r="D2267" s="1" t="s">
        <v>4792</v>
      </c>
      <c r="E2267" s="1" t="s">
        <v>4819</v>
      </c>
      <c r="F2267" s="1" t="str">
        <f>HYPERLINK("https://talan.bank.gov.ua/get-user-certificate/J5325uX5bGbi55O5-YYS","Завантажити сертифікат")</f>
        <v>Завантажити сертифікат</v>
      </c>
    </row>
    <row r="2268" spans="1:6" ht="28.8" x14ac:dyDescent="0.3">
      <c r="A2268" s="2">
        <v>2267</v>
      </c>
      <c r="B2268" s="1" t="s">
        <v>4820</v>
      </c>
      <c r="C2268" s="1" t="s">
        <v>4791</v>
      </c>
      <c r="D2268" s="1" t="s">
        <v>4792</v>
      </c>
      <c r="E2268" s="1" t="s">
        <v>4821</v>
      </c>
      <c r="F2268" s="1" t="str">
        <f>HYPERLINK("https://talan.bank.gov.ua/get-user-certificate/J5325OXxkNbkzNx8GOl-","Завантажити сертифікат")</f>
        <v>Завантажити сертифікат</v>
      </c>
    </row>
    <row r="2269" spans="1:6" ht="28.8" x14ac:dyDescent="0.3">
      <c r="A2269" s="2">
        <v>2268</v>
      </c>
      <c r="B2269" s="1" t="s">
        <v>4822</v>
      </c>
      <c r="C2269" s="1" t="s">
        <v>4791</v>
      </c>
      <c r="D2269" s="1" t="s">
        <v>4792</v>
      </c>
      <c r="E2269" s="1" t="s">
        <v>4823</v>
      </c>
      <c r="F2269" s="1" t="str">
        <f>HYPERLINK("https://talan.bank.gov.ua/get-user-certificate/J5325gtjxrVWmfTeN8D9","Завантажити сертифікат")</f>
        <v>Завантажити сертифікат</v>
      </c>
    </row>
    <row r="2270" spans="1:6" ht="28.8" x14ac:dyDescent="0.3">
      <c r="A2270" s="2">
        <v>2269</v>
      </c>
      <c r="B2270" s="1" t="s">
        <v>4824</v>
      </c>
      <c r="C2270" s="1" t="s">
        <v>4791</v>
      </c>
      <c r="D2270" s="1" t="s">
        <v>4792</v>
      </c>
      <c r="E2270" s="1" t="s">
        <v>4825</v>
      </c>
      <c r="F2270" s="1" t="str">
        <f>HYPERLINK("https://talan.bank.gov.ua/get-user-certificate/J5325ZzVd5igO_YTOqHz","Завантажити сертифікат")</f>
        <v>Завантажити сертифікат</v>
      </c>
    </row>
    <row r="2271" spans="1:6" ht="28.8" x14ac:dyDescent="0.3">
      <c r="A2271" s="2">
        <v>2270</v>
      </c>
      <c r="B2271" s="1" t="s">
        <v>4826</v>
      </c>
      <c r="C2271" s="1" t="s">
        <v>4791</v>
      </c>
      <c r="D2271" s="1" t="s">
        <v>4792</v>
      </c>
      <c r="E2271" s="1" t="s">
        <v>4827</v>
      </c>
      <c r="F2271" s="1" t="str">
        <f>HYPERLINK("https://talan.bank.gov.ua/get-user-certificate/J5325ukcufmDYyeJa3l9","Завантажити сертифікат")</f>
        <v>Завантажити сертифікат</v>
      </c>
    </row>
    <row r="2272" spans="1:6" ht="28.8" x14ac:dyDescent="0.3">
      <c r="A2272" s="2">
        <v>2271</v>
      </c>
      <c r="B2272" s="1" t="s">
        <v>4828</v>
      </c>
      <c r="C2272" s="1" t="s">
        <v>4791</v>
      </c>
      <c r="D2272" s="1" t="s">
        <v>4792</v>
      </c>
      <c r="E2272" s="1" t="s">
        <v>4829</v>
      </c>
      <c r="F2272" s="1" t="str">
        <f>HYPERLINK("https://talan.bank.gov.ua/get-user-certificate/J5325Mxbs-FRrQMa61EK","Завантажити сертифікат")</f>
        <v>Завантажити сертифікат</v>
      </c>
    </row>
    <row r="2273" spans="1:6" ht="28.8" x14ac:dyDescent="0.3">
      <c r="A2273" s="2">
        <v>2272</v>
      </c>
      <c r="B2273" s="1" t="s">
        <v>4830</v>
      </c>
      <c r="C2273" s="1" t="s">
        <v>4791</v>
      </c>
      <c r="D2273" s="1" t="s">
        <v>4792</v>
      </c>
      <c r="E2273" s="1" t="s">
        <v>4831</v>
      </c>
      <c r="F2273" s="1" t="str">
        <f>HYPERLINK("https://talan.bank.gov.ua/get-user-certificate/J5325Np32zR2m8jjp4jc","Завантажити сертифікат")</f>
        <v>Завантажити сертифікат</v>
      </c>
    </row>
    <row r="2274" spans="1:6" ht="28.8" x14ac:dyDescent="0.3">
      <c r="A2274" s="2">
        <v>2273</v>
      </c>
      <c r="B2274" s="1" t="s">
        <v>4832</v>
      </c>
      <c r="C2274" s="1" t="s">
        <v>4791</v>
      </c>
      <c r="D2274" s="1" t="s">
        <v>4792</v>
      </c>
      <c r="E2274" s="1" t="s">
        <v>4833</v>
      </c>
      <c r="F2274" s="1" t="str">
        <f>HYPERLINK("https://talan.bank.gov.ua/get-user-certificate/J5325zXKJnMRKhDag9kA","Завантажити сертифікат")</f>
        <v>Завантажити сертифікат</v>
      </c>
    </row>
    <row r="2275" spans="1:6" ht="28.8" x14ac:dyDescent="0.3">
      <c r="A2275" s="2">
        <v>2274</v>
      </c>
      <c r="B2275" s="1" t="s">
        <v>4834</v>
      </c>
      <c r="C2275" s="1" t="s">
        <v>4791</v>
      </c>
      <c r="D2275" s="1" t="s">
        <v>4792</v>
      </c>
      <c r="E2275" s="1" t="s">
        <v>4835</v>
      </c>
      <c r="F2275" s="1" t="str">
        <f>HYPERLINK("https://talan.bank.gov.ua/get-user-certificate/J5325RlHCdqYZXJUoHYw","Завантажити сертифікат")</f>
        <v>Завантажити сертифікат</v>
      </c>
    </row>
    <row r="2276" spans="1:6" ht="28.8" x14ac:dyDescent="0.3">
      <c r="A2276" s="2">
        <v>2275</v>
      </c>
      <c r="B2276" s="1" t="s">
        <v>4836</v>
      </c>
      <c r="C2276" s="1" t="s">
        <v>4791</v>
      </c>
      <c r="D2276" s="1" t="s">
        <v>4792</v>
      </c>
      <c r="E2276" s="1" t="s">
        <v>4837</v>
      </c>
      <c r="F2276" s="1" t="str">
        <f>HYPERLINK("https://talan.bank.gov.ua/get-user-certificate/J5325lvEGbeKCrHaDFeb","Завантажити сертифікат")</f>
        <v>Завантажити сертифікат</v>
      </c>
    </row>
    <row r="2277" spans="1:6" ht="28.8" x14ac:dyDescent="0.3">
      <c r="A2277" s="2">
        <v>2276</v>
      </c>
      <c r="B2277" s="1" t="s">
        <v>4838</v>
      </c>
      <c r="C2277" s="1" t="s">
        <v>4791</v>
      </c>
      <c r="D2277" s="1" t="s">
        <v>4792</v>
      </c>
      <c r="E2277" s="1" t="s">
        <v>4839</v>
      </c>
      <c r="F2277" s="1" t="str">
        <f>HYPERLINK("https://talan.bank.gov.ua/get-user-certificate/J5325xGMNmnb6nCb2D9A","Завантажити сертифікат")</f>
        <v>Завантажити сертифікат</v>
      </c>
    </row>
    <row r="2278" spans="1:6" ht="28.8" x14ac:dyDescent="0.3">
      <c r="A2278" s="2">
        <v>2277</v>
      </c>
      <c r="B2278" s="1" t="s">
        <v>4840</v>
      </c>
      <c r="C2278" s="1" t="s">
        <v>4791</v>
      </c>
      <c r="D2278" s="1" t="s">
        <v>4792</v>
      </c>
      <c r="E2278" s="1" t="s">
        <v>4841</v>
      </c>
      <c r="F2278" s="1" t="str">
        <f>HYPERLINK("https://talan.bank.gov.ua/get-user-certificate/J5325bt2HmQA_z2H5h-B","Завантажити сертифікат")</f>
        <v>Завантажити сертифікат</v>
      </c>
    </row>
    <row r="2279" spans="1:6" ht="28.8" x14ac:dyDescent="0.3">
      <c r="A2279" s="2">
        <v>2278</v>
      </c>
      <c r="B2279" s="1" t="s">
        <v>4842</v>
      </c>
      <c r="C2279" s="1" t="s">
        <v>4791</v>
      </c>
      <c r="D2279" s="1" t="s">
        <v>4792</v>
      </c>
      <c r="E2279" s="1" t="s">
        <v>4843</v>
      </c>
      <c r="F2279" s="1" t="str">
        <f>HYPERLINK("https://talan.bank.gov.ua/get-user-certificate/J5325gmaVI1DUTy5W1jS","Завантажити сертифікат")</f>
        <v>Завантажити сертифікат</v>
      </c>
    </row>
    <row r="2280" spans="1:6" ht="28.8" x14ac:dyDescent="0.3">
      <c r="A2280" s="2">
        <v>2279</v>
      </c>
      <c r="B2280" s="1" t="s">
        <v>4844</v>
      </c>
      <c r="C2280" s="1" t="s">
        <v>4845</v>
      </c>
      <c r="D2280" s="1" t="s">
        <v>4846</v>
      </c>
      <c r="E2280" s="1" t="s">
        <v>4847</v>
      </c>
      <c r="F2280" s="1" t="str">
        <f>HYPERLINK("https://talan.bank.gov.ua/get-user-certificate/J5325wn_SHFDU6aUaYcE","Завантажити сертифікат")</f>
        <v>Завантажити сертифікат</v>
      </c>
    </row>
    <row r="2281" spans="1:6" ht="28.8" x14ac:dyDescent="0.3">
      <c r="A2281" s="2">
        <v>2280</v>
      </c>
      <c r="B2281" s="1" t="s">
        <v>4848</v>
      </c>
      <c r="C2281" s="1" t="s">
        <v>4845</v>
      </c>
      <c r="D2281" s="1" t="s">
        <v>4846</v>
      </c>
      <c r="E2281" s="1" t="s">
        <v>4849</v>
      </c>
      <c r="F2281" s="1" t="str">
        <f>HYPERLINK("https://talan.bank.gov.ua/get-user-certificate/J5325t2B7UBxx2Ecdla2","Завантажити сертифікат")</f>
        <v>Завантажити сертифікат</v>
      </c>
    </row>
    <row r="2282" spans="1:6" ht="28.8" x14ac:dyDescent="0.3">
      <c r="A2282" s="2">
        <v>2281</v>
      </c>
      <c r="B2282" s="1" t="s">
        <v>4850</v>
      </c>
      <c r="C2282" s="1" t="s">
        <v>4845</v>
      </c>
      <c r="D2282" s="1" t="s">
        <v>4846</v>
      </c>
      <c r="E2282" s="1" t="s">
        <v>4851</v>
      </c>
      <c r="F2282" s="1" t="str">
        <f>HYPERLINK("https://talan.bank.gov.ua/get-user-certificate/J5325Jwj_bNjNirz0kO6","Завантажити сертифікат")</f>
        <v>Завантажити сертифікат</v>
      </c>
    </row>
    <row r="2283" spans="1:6" ht="28.8" x14ac:dyDescent="0.3">
      <c r="A2283" s="2">
        <v>2282</v>
      </c>
      <c r="B2283" s="1" t="s">
        <v>4852</v>
      </c>
      <c r="C2283" s="1" t="s">
        <v>4845</v>
      </c>
      <c r="D2283" s="1" t="s">
        <v>4846</v>
      </c>
      <c r="E2283" s="1" t="s">
        <v>4853</v>
      </c>
      <c r="F2283" s="1" t="str">
        <f>HYPERLINK("https://talan.bank.gov.ua/get-user-certificate/J5325uK4IQVcsYzYChiw","Завантажити сертифікат")</f>
        <v>Завантажити сертифікат</v>
      </c>
    </row>
    <row r="2284" spans="1:6" ht="28.8" x14ac:dyDescent="0.3">
      <c r="A2284" s="2">
        <v>2283</v>
      </c>
      <c r="B2284" s="1" t="s">
        <v>4854</v>
      </c>
      <c r="C2284" s="1" t="s">
        <v>4845</v>
      </c>
      <c r="D2284" s="1" t="s">
        <v>4846</v>
      </c>
      <c r="E2284" s="1" t="s">
        <v>4855</v>
      </c>
      <c r="F2284" s="1" t="str">
        <f>HYPERLINK("https://talan.bank.gov.ua/get-user-certificate/J5325DgH_fwPTiLfh_S0","Завантажити сертифікат")</f>
        <v>Завантажити сертифікат</v>
      </c>
    </row>
    <row r="2285" spans="1:6" ht="28.8" x14ac:dyDescent="0.3">
      <c r="A2285" s="2">
        <v>2284</v>
      </c>
      <c r="B2285" s="1" t="s">
        <v>4856</v>
      </c>
      <c r="C2285" s="1" t="s">
        <v>4845</v>
      </c>
      <c r="D2285" s="1" t="s">
        <v>4846</v>
      </c>
      <c r="E2285" s="1" t="s">
        <v>4857</v>
      </c>
      <c r="F2285" s="1" t="str">
        <f>HYPERLINK("https://talan.bank.gov.ua/get-user-certificate/J5325LD8wJh5KqOjVx7D","Завантажити сертифікат")</f>
        <v>Завантажити сертифікат</v>
      </c>
    </row>
    <row r="2286" spans="1:6" ht="28.8" x14ac:dyDescent="0.3">
      <c r="A2286" s="2">
        <v>2285</v>
      </c>
      <c r="B2286" s="1" t="s">
        <v>4858</v>
      </c>
      <c r="C2286" s="1" t="s">
        <v>4845</v>
      </c>
      <c r="D2286" s="1" t="s">
        <v>4846</v>
      </c>
      <c r="E2286" s="1" t="s">
        <v>4859</v>
      </c>
      <c r="F2286" s="1" t="str">
        <f>HYPERLINK("https://talan.bank.gov.ua/get-user-certificate/J53252kFs931aYJUhsEp","Завантажити сертифікат")</f>
        <v>Завантажити сертифікат</v>
      </c>
    </row>
    <row r="2287" spans="1:6" ht="28.8" x14ac:dyDescent="0.3">
      <c r="A2287" s="2">
        <v>2286</v>
      </c>
      <c r="B2287" s="1" t="s">
        <v>4860</v>
      </c>
      <c r="C2287" s="1" t="s">
        <v>4845</v>
      </c>
      <c r="D2287" s="1" t="s">
        <v>4846</v>
      </c>
      <c r="E2287" s="1" t="s">
        <v>4861</v>
      </c>
      <c r="F2287" s="1" t="str">
        <f>HYPERLINK("https://talan.bank.gov.ua/get-user-certificate/J5325NbX_al1aRbsljlp","Завантажити сертифікат")</f>
        <v>Завантажити сертифікат</v>
      </c>
    </row>
    <row r="2288" spans="1:6" ht="28.8" x14ac:dyDescent="0.3">
      <c r="A2288" s="2">
        <v>2287</v>
      </c>
      <c r="B2288" s="1" t="s">
        <v>4862</v>
      </c>
      <c r="C2288" s="1" t="s">
        <v>4845</v>
      </c>
      <c r="D2288" s="1" t="s">
        <v>4846</v>
      </c>
      <c r="E2288" s="1" t="s">
        <v>4863</v>
      </c>
      <c r="F2288" s="1" t="str">
        <f>HYPERLINK("https://talan.bank.gov.ua/get-user-certificate/J5325XBmExhKK2MW7xUA","Завантажити сертифікат")</f>
        <v>Завантажити сертифікат</v>
      </c>
    </row>
    <row r="2289" spans="1:6" ht="28.8" x14ac:dyDescent="0.3">
      <c r="A2289" s="2">
        <v>2288</v>
      </c>
      <c r="B2289" s="1" t="s">
        <v>4864</v>
      </c>
      <c r="C2289" s="1" t="s">
        <v>4845</v>
      </c>
      <c r="D2289" s="1" t="s">
        <v>4846</v>
      </c>
      <c r="E2289" s="1" t="s">
        <v>4865</v>
      </c>
      <c r="F2289" s="1" t="str">
        <f>HYPERLINK("https://talan.bank.gov.ua/get-user-certificate/J53254G5-bdgvfUeNVST","Завантажити сертифікат")</f>
        <v>Завантажити сертифікат</v>
      </c>
    </row>
    <row r="2290" spans="1:6" ht="28.8" x14ac:dyDescent="0.3">
      <c r="A2290" s="2">
        <v>2289</v>
      </c>
      <c r="B2290" s="1" t="s">
        <v>4866</v>
      </c>
      <c r="C2290" s="1" t="s">
        <v>4845</v>
      </c>
      <c r="D2290" s="1" t="s">
        <v>4846</v>
      </c>
      <c r="E2290" s="1" t="s">
        <v>4867</v>
      </c>
      <c r="F2290" s="1" t="str">
        <f>HYPERLINK("https://talan.bank.gov.ua/get-user-certificate/J5325K1xu87dVu9LfJyV","Завантажити сертифікат")</f>
        <v>Завантажити сертифікат</v>
      </c>
    </row>
    <row r="2291" spans="1:6" ht="28.8" x14ac:dyDescent="0.3">
      <c r="A2291" s="2">
        <v>2290</v>
      </c>
      <c r="B2291" s="1" t="s">
        <v>4868</v>
      </c>
      <c r="C2291" s="1" t="s">
        <v>4869</v>
      </c>
      <c r="D2291" s="1" t="s">
        <v>4870</v>
      </c>
      <c r="E2291" s="1" t="s">
        <v>4871</v>
      </c>
      <c r="F2291" s="1" t="str">
        <f>HYPERLINK("https://talan.bank.gov.ua/get-user-certificate/J5325cGOEBLCjaYCNYir","Завантажити сертифікат")</f>
        <v>Завантажити сертифікат</v>
      </c>
    </row>
    <row r="2292" spans="1:6" ht="28.8" x14ac:dyDescent="0.3">
      <c r="A2292" s="2">
        <v>2291</v>
      </c>
      <c r="B2292" s="1" t="s">
        <v>4872</v>
      </c>
      <c r="C2292" s="1" t="s">
        <v>4869</v>
      </c>
      <c r="D2292" s="1" t="s">
        <v>4870</v>
      </c>
      <c r="E2292" s="1" t="s">
        <v>4873</v>
      </c>
      <c r="F2292" s="1" t="str">
        <f>HYPERLINK("https://talan.bank.gov.ua/get-user-certificate/J5325aI55qGl0H5EtP20","Завантажити сертифікат")</f>
        <v>Завантажити сертифікат</v>
      </c>
    </row>
    <row r="2293" spans="1:6" ht="28.8" x14ac:dyDescent="0.3">
      <c r="A2293" s="2">
        <v>2292</v>
      </c>
      <c r="B2293" s="1" t="s">
        <v>4874</v>
      </c>
      <c r="C2293" s="1" t="s">
        <v>4869</v>
      </c>
      <c r="D2293" s="1" t="s">
        <v>4870</v>
      </c>
      <c r="E2293" s="1" t="s">
        <v>4875</v>
      </c>
      <c r="F2293" s="1" t="str">
        <f>HYPERLINK("https://talan.bank.gov.ua/get-user-certificate/J5325moYIrmwXDE7xlAj","Завантажити сертифікат")</f>
        <v>Завантажити сертифікат</v>
      </c>
    </row>
    <row r="2294" spans="1:6" ht="28.8" x14ac:dyDescent="0.3">
      <c r="A2294" s="2">
        <v>2293</v>
      </c>
      <c r="B2294" s="1" t="s">
        <v>4876</v>
      </c>
      <c r="C2294" s="1" t="s">
        <v>4869</v>
      </c>
      <c r="D2294" s="1" t="s">
        <v>4870</v>
      </c>
      <c r="E2294" s="1" t="s">
        <v>4877</v>
      </c>
      <c r="F2294" s="1" t="str">
        <f>HYPERLINK("https://talan.bank.gov.ua/get-user-certificate/J5325nTma3ykHCBBblVc","Завантажити сертифікат")</f>
        <v>Завантажити сертифікат</v>
      </c>
    </row>
    <row r="2295" spans="1:6" ht="28.8" x14ac:dyDescent="0.3">
      <c r="A2295" s="2">
        <v>2294</v>
      </c>
      <c r="B2295" s="1" t="s">
        <v>4878</v>
      </c>
      <c r="C2295" s="1" t="s">
        <v>4869</v>
      </c>
      <c r="D2295" s="1" t="s">
        <v>4870</v>
      </c>
      <c r="E2295" s="1" t="s">
        <v>4879</v>
      </c>
      <c r="F2295" s="1" t="str">
        <f>HYPERLINK("https://talan.bank.gov.ua/get-user-certificate/J5325M8NZfh_HHOs0OPm","Завантажити сертифікат")</f>
        <v>Завантажити сертифікат</v>
      </c>
    </row>
    <row r="2296" spans="1:6" x14ac:dyDescent="0.3">
      <c r="A2296" s="2">
        <v>2295</v>
      </c>
      <c r="B2296" s="1" t="s">
        <v>4880</v>
      </c>
      <c r="C2296" s="1" t="s">
        <v>4881</v>
      </c>
      <c r="D2296" s="1" t="s">
        <v>4882</v>
      </c>
      <c r="E2296" s="1" t="s">
        <v>4883</v>
      </c>
      <c r="F2296" s="1" t="str">
        <f>HYPERLINK("https://talan.bank.gov.ua/get-user-certificate/J5325di9yHl-ptxK8cMe","Завантажити сертифікат")</f>
        <v>Завантажити сертифікат</v>
      </c>
    </row>
    <row r="2297" spans="1:6" x14ac:dyDescent="0.3">
      <c r="A2297" s="2">
        <v>2296</v>
      </c>
      <c r="B2297" s="1" t="s">
        <v>4884</v>
      </c>
      <c r="C2297" s="1" t="s">
        <v>4881</v>
      </c>
      <c r="D2297" s="1" t="s">
        <v>4882</v>
      </c>
      <c r="E2297" s="1" t="s">
        <v>4885</v>
      </c>
      <c r="F2297" s="1" t="str">
        <f>HYPERLINK("https://talan.bank.gov.ua/get-user-certificate/J5325ajAg-IuoAT4OBN_","Завантажити сертифікат")</f>
        <v>Завантажити сертифікат</v>
      </c>
    </row>
    <row r="2298" spans="1:6" x14ac:dyDescent="0.3">
      <c r="A2298" s="2">
        <v>2297</v>
      </c>
      <c r="B2298" s="1" t="s">
        <v>4886</v>
      </c>
      <c r="C2298" s="1" t="s">
        <v>4881</v>
      </c>
      <c r="D2298" s="1" t="s">
        <v>4882</v>
      </c>
      <c r="E2298" s="1" t="s">
        <v>4887</v>
      </c>
      <c r="F2298" s="1" t="str">
        <f>HYPERLINK("https://talan.bank.gov.ua/get-user-certificate/J5325QtOwYvOpBCFSq2J","Завантажити сертифікат")</f>
        <v>Завантажити сертифікат</v>
      </c>
    </row>
    <row r="2299" spans="1:6" x14ac:dyDescent="0.3">
      <c r="A2299" s="2">
        <v>2298</v>
      </c>
      <c r="B2299" s="1" t="s">
        <v>4888</v>
      </c>
      <c r="C2299" s="1" t="s">
        <v>4881</v>
      </c>
      <c r="D2299" s="1" t="s">
        <v>4882</v>
      </c>
      <c r="E2299" s="1" t="s">
        <v>4889</v>
      </c>
      <c r="F2299" s="1" t="str">
        <f>HYPERLINK("https://talan.bank.gov.ua/get-user-certificate/J5325HzHYsO9j_q_GxEq","Завантажити сертифікат")</f>
        <v>Завантажити сертифікат</v>
      </c>
    </row>
    <row r="2300" spans="1:6" x14ac:dyDescent="0.3">
      <c r="A2300" s="2">
        <v>2299</v>
      </c>
      <c r="B2300" s="1" t="s">
        <v>4890</v>
      </c>
      <c r="C2300" s="1" t="s">
        <v>4881</v>
      </c>
      <c r="D2300" s="1" t="s">
        <v>4882</v>
      </c>
      <c r="E2300" s="1" t="s">
        <v>4891</v>
      </c>
      <c r="F2300" s="1" t="str">
        <f>HYPERLINK("https://talan.bank.gov.ua/get-user-certificate/J5325l4Ey5r1xDvU9y8j","Завантажити сертифікат")</f>
        <v>Завантажити сертифікат</v>
      </c>
    </row>
    <row r="2301" spans="1:6" x14ac:dyDescent="0.3">
      <c r="A2301" s="2">
        <v>2300</v>
      </c>
      <c r="B2301" s="1" t="s">
        <v>4892</v>
      </c>
      <c r="C2301" s="1" t="s">
        <v>4881</v>
      </c>
      <c r="D2301" s="1" t="s">
        <v>4882</v>
      </c>
      <c r="E2301" s="1" t="s">
        <v>4893</v>
      </c>
      <c r="F2301" s="1" t="str">
        <f>HYPERLINK("https://talan.bank.gov.ua/get-user-certificate/J5325Ftx7YpU26BKZdFG","Завантажити сертифікат")</f>
        <v>Завантажити сертифікат</v>
      </c>
    </row>
    <row r="2302" spans="1:6" x14ac:dyDescent="0.3">
      <c r="A2302" s="2">
        <v>2301</v>
      </c>
      <c r="B2302" s="1" t="s">
        <v>4894</v>
      </c>
      <c r="C2302" s="1" t="s">
        <v>4881</v>
      </c>
      <c r="D2302" s="1" t="s">
        <v>4882</v>
      </c>
      <c r="E2302" s="1" t="s">
        <v>4895</v>
      </c>
      <c r="F2302" s="1" t="str">
        <f>HYPERLINK("https://talan.bank.gov.ua/get-user-certificate/J53258PAhyZlfy7U6lUK","Завантажити сертифікат")</f>
        <v>Завантажити сертифікат</v>
      </c>
    </row>
    <row r="2303" spans="1:6" ht="28.8" x14ac:dyDescent="0.3">
      <c r="A2303" s="2">
        <v>2302</v>
      </c>
      <c r="B2303" s="1" t="s">
        <v>4896</v>
      </c>
      <c r="C2303" s="1" t="s">
        <v>4897</v>
      </c>
      <c r="D2303" s="1" t="s">
        <v>4898</v>
      </c>
      <c r="E2303" s="1" t="s">
        <v>4899</v>
      </c>
      <c r="F2303" s="1" t="str">
        <f>HYPERLINK("https://talan.bank.gov.ua/get-user-certificate/J53254gOFlk4St7GeFxX","Завантажити сертифікат")</f>
        <v>Завантажити сертифікат</v>
      </c>
    </row>
    <row r="2304" spans="1:6" ht="28.8" x14ac:dyDescent="0.3">
      <c r="A2304" s="2">
        <v>2303</v>
      </c>
      <c r="B2304" s="1" t="s">
        <v>4900</v>
      </c>
      <c r="C2304" s="1" t="s">
        <v>4897</v>
      </c>
      <c r="D2304" s="1" t="s">
        <v>4898</v>
      </c>
      <c r="E2304" s="1" t="s">
        <v>4901</v>
      </c>
      <c r="F2304" s="1" t="str">
        <f>HYPERLINK("https://talan.bank.gov.ua/get-user-certificate/J5325dlpOBB3yl1YSF2u","Завантажити сертифікат")</f>
        <v>Завантажити сертифікат</v>
      </c>
    </row>
    <row r="2305" spans="1:6" ht="28.8" x14ac:dyDescent="0.3">
      <c r="A2305" s="2">
        <v>2304</v>
      </c>
      <c r="B2305" s="1" t="s">
        <v>4902</v>
      </c>
      <c r="C2305" s="1" t="s">
        <v>4897</v>
      </c>
      <c r="D2305" s="1" t="s">
        <v>4898</v>
      </c>
      <c r="E2305" s="1" t="s">
        <v>4903</v>
      </c>
      <c r="F2305" s="1" t="str">
        <f>HYPERLINK("https://talan.bank.gov.ua/get-user-certificate/J5325LxCM54uWtfBQ8UP","Завантажити сертифікат")</f>
        <v>Завантажити сертифікат</v>
      </c>
    </row>
    <row r="2306" spans="1:6" ht="28.8" x14ac:dyDescent="0.3">
      <c r="A2306" s="2">
        <v>2305</v>
      </c>
      <c r="B2306" s="1" t="s">
        <v>4904</v>
      </c>
      <c r="C2306" s="1" t="s">
        <v>4897</v>
      </c>
      <c r="D2306" s="1" t="s">
        <v>4898</v>
      </c>
      <c r="E2306" s="1" t="s">
        <v>4905</v>
      </c>
      <c r="F2306" s="1" t="str">
        <f>HYPERLINK("https://talan.bank.gov.ua/get-user-certificate/J53250dC7BXV1AgQogQq","Завантажити сертифікат")</f>
        <v>Завантажити сертифікат</v>
      </c>
    </row>
    <row r="2307" spans="1:6" ht="28.8" x14ac:dyDescent="0.3">
      <c r="A2307" s="2">
        <v>2306</v>
      </c>
      <c r="B2307" s="1" t="s">
        <v>4906</v>
      </c>
      <c r="C2307" s="1" t="s">
        <v>4897</v>
      </c>
      <c r="D2307" s="1" t="s">
        <v>4898</v>
      </c>
      <c r="E2307" s="1" t="s">
        <v>4907</v>
      </c>
      <c r="F2307" s="1" t="str">
        <f>HYPERLINK("https://talan.bank.gov.ua/get-user-certificate/J5325l_yRQQApCbj-_u-","Завантажити сертифікат")</f>
        <v>Завантажити сертифікат</v>
      </c>
    </row>
    <row r="2308" spans="1:6" ht="28.8" x14ac:dyDescent="0.3">
      <c r="A2308" s="2">
        <v>2307</v>
      </c>
      <c r="B2308" s="1" t="s">
        <v>4908</v>
      </c>
      <c r="C2308" s="1" t="s">
        <v>4897</v>
      </c>
      <c r="D2308" s="1" t="s">
        <v>4898</v>
      </c>
      <c r="E2308" s="1" t="s">
        <v>4909</v>
      </c>
      <c r="F2308" s="1" t="str">
        <f>HYPERLINK("https://talan.bank.gov.ua/get-user-certificate/J5325cYQCqZFVQErSjLC","Завантажити сертифікат")</f>
        <v>Завантажити сертифікат</v>
      </c>
    </row>
    <row r="2309" spans="1:6" ht="28.8" x14ac:dyDescent="0.3">
      <c r="A2309" s="2">
        <v>2308</v>
      </c>
      <c r="B2309" s="1" t="s">
        <v>4910</v>
      </c>
      <c r="C2309" s="1" t="s">
        <v>4897</v>
      </c>
      <c r="D2309" s="1" t="s">
        <v>4898</v>
      </c>
      <c r="E2309" s="1" t="s">
        <v>4911</v>
      </c>
      <c r="F2309" s="1" t="str">
        <f>HYPERLINK("https://talan.bank.gov.ua/get-user-certificate/J5325nwB1zQLJjLb1YzJ","Завантажити сертифікат")</f>
        <v>Завантажити сертифікат</v>
      </c>
    </row>
    <row r="2310" spans="1:6" ht="28.8" x14ac:dyDescent="0.3">
      <c r="A2310" s="2">
        <v>2309</v>
      </c>
      <c r="B2310" s="1" t="s">
        <v>4912</v>
      </c>
      <c r="C2310" s="1" t="s">
        <v>4897</v>
      </c>
      <c r="D2310" s="1" t="s">
        <v>4898</v>
      </c>
      <c r="E2310" s="1" t="s">
        <v>4913</v>
      </c>
      <c r="F2310" s="1" t="str">
        <f>HYPERLINK("https://talan.bank.gov.ua/get-user-certificate/J53256EqMpjviiF3PRSk","Завантажити сертифікат")</f>
        <v>Завантажити сертифікат</v>
      </c>
    </row>
    <row r="2311" spans="1:6" x14ac:dyDescent="0.3">
      <c r="A2311" s="2">
        <v>2310</v>
      </c>
      <c r="B2311" s="1" t="s">
        <v>4914</v>
      </c>
      <c r="C2311" s="1" t="s">
        <v>4915</v>
      </c>
      <c r="D2311" s="1" t="s">
        <v>4916</v>
      </c>
      <c r="E2311" s="1" t="s">
        <v>4917</v>
      </c>
      <c r="F2311" s="1" t="str">
        <f>HYPERLINK("https://talan.bank.gov.ua/get-user-certificate/J5325cGO3YWElfmCjLLo","Завантажити сертифікат")</f>
        <v>Завантажити сертифікат</v>
      </c>
    </row>
    <row r="2312" spans="1:6" x14ac:dyDescent="0.3">
      <c r="A2312" s="2">
        <v>2311</v>
      </c>
      <c r="B2312" s="1" t="s">
        <v>4918</v>
      </c>
      <c r="C2312" s="1" t="s">
        <v>4915</v>
      </c>
      <c r="D2312" s="1" t="s">
        <v>4916</v>
      </c>
      <c r="E2312" s="1" t="s">
        <v>4919</v>
      </c>
      <c r="F2312" s="1" t="str">
        <f>HYPERLINK("https://talan.bank.gov.ua/get-user-certificate/J5325LYv1CsJK05Hr6XK","Завантажити сертифікат")</f>
        <v>Завантажити сертифікат</v>
      </c>
    </row>
    <row r="2313" spans="1:6" x14ac:dyDescent="0.3">
      <c r="A2313" s="2">
        <v>2312</v>
      </c>
      <c r="B2313" s="1" t="s">
        <v>4920</v>
      </c>
      <c r="C2313" s="1" t="s">
        <v>4915</v>
      </c>
      <c r="D2313" s="1" t="s">
        <v>4916</v>
      </c>
      <c r="E2313" s="1" t="s">
        <v>4921</v>
      </c>
      <c r="F2313" s="1" t="str">
        <f>HYPERLINK("https://talan.bank.gov.ua/get-user-certificate/J532555FSnaM_HSGWyvb","Завантажити сертифікат")</f>
        <v>Завантажити сертифікат</v>
      </c>
    </row>
    <row r="2314" spans="1:6" x14ac:dyDescent="0.3">
      <c r="A2314" s="2">
        <v>2313</v>
      </c>
      <c r="B2314" s="1" t="s">
        <v>4922</v>
      </c>
      <c r="C2314" s="1" t="s">
        <v>4915</v>
      </c>
      <c r="D2314" s="1" t="s">
        <v>4916</v>
      </c>
      <c r="E2314" s="1" t="s">
        <v>4923</v>
      </c>
      <c r="F2314" s="1" t="str">
        <f>HYPERLINK("https://talan.bank.gov.ua/get-user-certificate/J5325B1W_UOC4P0CPLjJ","Завантажити сертифікат")</f>
        <v>Завантажити сертифікат</v>
      </c>
    </row>
    <row r="2315" spans="1:6" x14ac:dyDescent="0.3">
      <c r="A2315" s="2">
        <v>2314</v>
      </c>
      <c r="B2315" s="1" t="s">
        <v>4924</v>
      </c>
      <c r="C2315" s="1" t="s">
        <v>4915</v>
      </c>
      <c r="D2315" s="1" t="s">
        <v>4916</v>
      </c>
      <c r="E2315" s="1" t="s">
        <v>4925</v>
      </c>
      <c r="F2315" s="1" t="str">
        <f>HYPERLINK("https://talan.bank.gov.ua/get-user-certificate/J5325R3MeO25QxppQ6KR","Завантажити сертифікат")</f>
        <v>Завантажити сертифікат</v>
      </c>
    </row>
    <row r="2316" spans="1:6" x14ac:dyDescent="0.3">
      <c r="A2316" s="2">
        <v>2315</v>
      </c>
      <c r="B2316" s="1" t="s">
        <v>4926</v>
      </c>
      <c r="C2316" s="1" t="s">
        <v>4915</v>
      </c>
      <c r="D2316" s="1" t="s">
        <v>4916</v>
      </c>
      <c r="E2316" s="1" t="s">
        <v>4927</v>
      </c>
      <c r="F2316" s="1" t="str">
        <f>HYPERLINK("https://talan.bank.gov.ua/get-user-certificate/J5325J-qprNS_XGKOa6q","Завантажити сертифікат")</f>
        <v>Завантажити сертифікат</v>
      </c>
    </row>
    <row r="2317" spans="1:6" x14ac:dyDescent="0.3">
      <c r="A2317" s="2">
        <v>2316</v>
      </c>
      <c r="B2317" s="1" t="s">
        <v>4928</v>
      </c>
      <c r="C2317" s="1" t="s">
        <v>4915</v>
      </c>
      <c r="D2317" s="1" t="s">
        <v>4916</v>
      </c>
      <c r="E2317" s="1" t="s">
        <v>4929</v>
      </c>
      <c r="F2317" s="1" t="str">
        <f>HYPERLINK("https://talan.bank.gov.ua/get-user-certificate/J53259NkUHGRFJNKnlrV","Завантажити сертифікат")</f>
        <v>Завантажити сертифікат</v>
      </c>
    </row>
    <row r="2318" spans="1:6" x14ac:dyDescent="0.3">
      <c r="A2318" s="2">
        <v>2317</v>
      </c>
      <c r="B2318" s="1" t="s">
        <v>4930</v>
      </c>
      <c r="C2318" s="1" t="s">
        <v>4915</v>
      </c>
      <c r="D2318" s="1" t="s">
        <v>4916</v>
      </c>
      <c r="E2318" s="1" t="s">
        <v>4931</v>
      </c>
      <c r="F2318" s="1" t="str">
        <f>HYPERLINK("https://talan.bank.gov.ua/get-user-certificate/J5325eAQ7gCM7PM5Dabm","Завантажити сертифікат")</f>
        <v>Завантажити сертифікат</v>
      </c>
    </row>
    <row r="2319" spans="1:6" x14ac:dyDescent="0.3">
      <c r="A2319" s="2">
        <v>2318</v>
      </c>
      <c r="B2319" s="1" t="s">
        <v>4932</v>
      </c>
      <c r="C2319" s="1" t="s">
        <v>4915</v>
      </c>
      <c r="D2319" s="1" t="s">
        <v>4916</v>
      </c>
      <c r="E2319" s="1" t="s">
        <v>4933</v>
      </c>
      <c r="F2319" s="1" t="str">
        <f>HYPERLINK("https://talan.bank.gov.ua/get-user-certificate/J5325Tt-_y4FGfVhv4ZW","Завантажити сертифікат")</f>
        <v>Завантажити сертифікат</v>
      </c>
    </row>
    <row r="2320" spans="1:6" x14ac:dyDescent="0.3">
      <c r="A2320" s="2">
        <v>2319</v>
      </c>
      <c r="B2320" s="1" t="s">
        <v>4934</v>
      </c>
      <c r="C2320" s="1" t="s">
        <v>4915</v>
      </c>
      <c r="D2320" s="1" t="s">
        <v>4916</v>
      </c>
      <c r="E2320" s="1" t="s">
        <v>4935</v>
      </c>
      <c r="F2320" s="1" t="str">
        <f>HYPERLINK("https://talan.bank.gov.ua/get-user-certificate/J53252cULswGEj9tfodu","Завантажити сертифікат")</f>
        <v>Завантажити сертифікат</v>
      </c>
    </row>
    <row r="2321" spans="1:6" x14ac:dyDescent="0.3">
      <c r="A2321" s="2">
        <v>2320</v>
      </c>
      <c r="B2321" s="1" t="s">
        <v>4936</v>
      </c>
      <c r="C2321" s="1" t="s">
        <v>4915</v>
      </c>
      <c r="D2321" s="1" t="s">
        <v>4916</v>
      </c>
      <c r="E2321" s="1" t="s">
        <v>4937</v>
      </c>
      <c r="F2321" s="1" t="str">
        <f>HYPERLINK("https://talan.bank.gov.ua/get-user-certificate/J5325eTNXtCE-hF9bs_1","Завантажити сертифікат")</f>
        <v>Завантажити сертифікат</v>
      </c>
    </row>
    <row r="2322" spans="1:6" x14ac:dyDescent="0.3">
      <c r="A2322" s="2">
        <v>2321</v>
      </c>
      <c r="B2322" s="1" t="s">
        <v>4938</v>
      </c>
      <c r="C2322" s="1" t="s">
        <v>4915</v>
      </c>
      <c r="D2322" s="1" t="s">
        <v>4916</v>
      </c>
      <c r="E2322" s="1" t="s">
        <v>4939</v>
      </c>
      <c r="F2322" s="1" t="str">
        <f>HYPERLINK("https://talan.bank.gov.ua/get-user-certificate/J5325JKNW8dWj7fQK8Wg","Завантажити сертифікат")</f>
        <v>Завантажити сертифікат</v>
      </c>
    </row>
    <row r="2323" spans="1:6" x14ac:dyDescent="0.3">
      <c r="A2323" s="2">
        <v>2322</v>
      </c>
      <c r="B2323" s="1" t="s">
        <v>4940</v>
      </c>
      <c r="C2323" s="1" t="s">
        <v>4915</v>
      </c>
      <c r="D2323" s="1" t="s">
        <v>4916</v>
      </c>
      <c r="E2323" s="1" t="s">
        <v>4941</v>
      </c>
      <c r="F2323" s="1" t="str">
        <f>HYPERLINK("https://talan.bank.gov.ua/get-user-certificate/J5325uM6fgos2PQdBncj","Завантажити сертифікат")</f>
        <v>Завантажити сертифікат</v>
      </c>
    </row>
    <row r="2324" spans="1:6" x14ac:dyDescent="0.3">
      <c r="A2324" s="2">
        <v>2323</v>
      </c>
      <c r="B2324" s="1" t="s">
        <v>4942</v>
      </c>
      <c r="C2324" s="1" t="s">
        <v>4915</v>
      </c>
      <c r="D2324" s="1" t="s">
        <v>4916</v>
      </c>
      <c r="E2324" s="1" t="s">
        <v>4943</v>
      </c>
      <c r="F2324" s="1" t="str">
        <f>HYPERLINK("https://talan.bank.gov.ua/get-user-certificate/J5325Hc9QxyFbxeu0Dvh","Завантажити сертифікат")</f>
        <v>Завантажити сертифікат</v>
      </c>
    </row>
    <row r="2325" spans="1:6" x14ac:dyDescent="0.3">
      <c r="A2325" s="2">
        <v>2324</v>
      </c>
      <c r="B2325" s="1" t="s">
        <v>4944</v>
      </c>
      <c r="C2325" s="1" t="s">
        <v>4915</v>
      </c>
      <c r="D2325" s="1" t="s">
        <v>4916</v>
      </c>
      <c r="E2325" s="1" t="s">
        <v>4945</v>
      </c>
      <c r="F2325" s="1" t="str">
        <f>HYPERLINK("https://talan.bank.gov.ua/get-user-certificate/J5325T09U4gqo9gZmOAR","Завантажити сертифікат")</f>
        <v>Завантажити сертифікат</v>
      </c>
    </row>
    <row r="2326" spans="1:6" x14ac:dyDescent="0.3">
      <c r="A2326" s="2">
        <v>2325</v>
      </c>
      <c r="B2326" s="1" t="s">
        <v>4946</v>
      </c>
      <c r="C2326" s="1" t="s">
        <v>4915</v>
      </c>
      <c r="D2326" s="1" t="s">
        <v>4916</v>
      </c>
      <c r="E2326" s="1" t="s">
        <v>4947</v>
      </c>
      <c r="F2326" s="1" t="str">
        <f>HYPERLINK("https://talan.bank.gov.ua/get-user-certificate/J5325Hch4PR56TNyO8Dg","Завантажити сертифікат")</f>
        <v>Завантажити сертифікат</v>
      </c>
    </row>
    <row r="2327" spans="1:6" x14ac:dyDescent="0.3">
      <c r="A2327" s="2">
        <v>2326</v>
      </c>
      <c r="B2327" s="1" t="s">
        <v>4948</v>
      </c>
      <c r="C2327" s="1" t="s">
        <v>4915</v>
      </c>
      <c r="D2327" s="1" t="s">
        <v>4916</v>
      </c>
      <c r="E2327" s="1" t="s">
        <v>4949</v>
      </c>
      <c r="F2327" s="1" t="str">
        <f>HYPERLINK("https://talan.bank.gov.ua/get-user-certificate/J5325wvqhmaQBHlIXqKV","Завантажити сертифікат")</f>
        <v>Завантажити сертифікат</v>
      </c>
    </row>
    <row r="2328" spans="1:6" x14ac:dyDescent="0.3">
      <c r="A2328" s="2">
        <v>2327</v>
      </c>
      <c r="B2328" s="1" t="s">
        <v>4950</v>
      </c>
      <c r="C2328" s="1" t="s">
        <v>4915</v>
      </c>
      <c r="D2328" s="1" t="s">
        <v>4916</v>
      </c>
      <c r="E2328" s="1" t="s">
        <v>4951</v>
      </c>
      <c r="F2328" s="1" t="str">
        <f>HYPERLINK("https://talan.bank.gov.ua/get-user-certificate/J5325rgeBNsYJcepxjLD","Завантажити сертифікат")</f>
        <v>Завантажити сертифікат</v>
      </c>
    </row>
    <row r="2329" spans="1:6" x14ac:dyDescent="0.3">
      <c r="A2329" s="2">
        <v>2328</v>
      </c>
      <c r="B2329" s="1" t="s">
        <v>4952</v>
      </c>
      <c r="C2329" s="1" t="s">
        <v>4915</v>
      </c>
      <c r="D2329" s="1" t="s">
        <v>4916</v>
      </c>
      <c r="E2329" s="1" t="s">
        <v>4953</v>
      </c>
      <c r="F2329" s="1" t="str">
        <f>HYPERLINK("https://talan.bank.gov.ua/get-user-certificate/J5325DgLGk6xeD5AbBMC","Завантажити сертифікат")</f>
        <v>Завантажити сертифікат</v>
      </c>
    </row>
    <row r="2330" spans="1:6" x14ac:dyDescent="0.3">
      <c r="A2330" s="2">
        <v>2329</v>
      </c>
      <c r="B2330" s="1" t="s">
        <v>4954</v>
      </c>
      <c r="C2330" s="1" t="s">
        <v>4915</v>
      </c>
      <c r="D2330" s="1" t="s">
        <v>4916</v>
      </c>
      <c r="E2330" s="1" t="s">
        <v>4955</v>
      </c>
      <c r="F2330" s="1" t="str">
        <f>HYPERLINK("https://talan.bank.gov.ua/get-user-certificate/J5325ZlPgic86Jb56Scx","Завантажити сертифікат")</f>
        <v>Завантажити сертифікат</v>
      </c>
    </row>
    <row r="2331" spans="1:6" x14ac:dyDescent="0.3">
      <c r="A2331" s="2">
        <v>2330</v>
      </c>
      <c r="B2331" s="1" t="s">
        <v>4956</v>
      </c>
      <c r="C2331" s="1" t="s">
        <v>4915</v>
      </c>
      <c r="D2331" s="1" t="s">
        <v>4916</v>
      </c>
      <c r="E2331" s="1" t="s">
        <v>4957</v>
      </c>
      <c r="F2331" s="1" t="str">
        <f>HYPERLINK("https://talan.bank.gov.ua/get-user-certificate/J5325176LHwZivk3Smwj","Завантажити сертифікат")</f>
        <v>Завантажити сертифікат</v>
      </c>
    </row>
    <row r="2332" spans="1:6" x14ac:dyDescent="0.3">
      <c r="A2332" s="2">
        <v>2331</v>
      </c>
      <c r="B2332" s="1" t="s">
        <v>4958</v>
      </c>
      <c r="C2332" s="1" t="s">
        <v>4915</v>
      </c>
      <c r="D2332" s="1" t="s">
        <v>4916</v>
      </c>
      <c r="E2332" s="1" t="s">
        <v>4959</v>
      </c>
      <c r="F2332" s="1" t="str">
        <f>HYPERLINK("https://talan.bank.gov.ua/get-user-certificate/J5325wTjgCne_VnzHtMb","Завантажити сертифікат")</f>
        <v>Завантажити сертифікат</v>
      </c>
    </row>
    <row r="2333" spans="1:6" x14ac:dyDescent="0.3">
      <c r="A2333" s="2">
        <v>2332</v>
      </c>
      <c r="B2333" s="1" t="s">
        <v>4960</v>
      </c>
      <c r="C2333" s="1" t="s">
        <v>4915</v>
      </c>
      <c r="D2333" s="1" t="s">
        <v>4916</v>
      </c>
      <c r="E2333" s="1" t="s">
        <v>4961</v>
      </c>
      <c r="F2333" s="1" t="str">
        <f>HYPERLINK("https://talan.bank.gov.ua/get-user-certificate/J53258kjQqRyWn6WzNrN","Завантажити сертифікат")</f>
        <v>Завантажити сертифікат</v>
      </c>
    </row>
    <row r="2334" spans="1:6" x14ac:dyDescent="0.3">
      <c r="A2334" s="2">
        <v>2333</v>
      </c>
      <c r="B2334" s="1" t="s">
        <v>4962</v>
      </c>
      <c r="C2334" s="1" t="s">
        <v>4915</v>
      </c>
      <c r="D2334" s="1" t="s">
        <v>4916</v>
      </c>
      <c r="E2334" s="1" t="s">
        <v>4963</v>
      </c>
      <c r="F2334" s="1" t="str">
        <f>HYPERLINK("https://talan.bank.gov.ua/get-user-certificate/J5325PBf9nCN9M_ccg3N","Завантажити сертифікат")</f>
        <v>Завантажити сертифікат</v>
      </c>
    </row>
    <row r="2335" spans="1:6" x14ac:dyDescent="0.3">
      <c r="A2335" s="2">
        <v>2334</v>
      </c>
      <c r="B2335" s="1" t="s">
        <v>4964</v>
      </c>
      <c r="C2335" s="1" t="s">
        <v>4915</v>
      </c>
      <c r="D2335" s="1" t="s">
        <v>4916</v>
      </c>
      <c r="E2335" s="1" t="s">
        <v>4965</v>
      </c>
      <c r="F2335" s="1" t="str">
        <f>HYPERLINK("https://talan.bank.gov.ua/get-user-certificate/J5325rE85dqDY5K7lpL_","Завантажити сертифікат")</f>
        <v>Завантажити сертифікат</v>
      </c>
    </row>
    <row r="2336" spans="1:6" x14ac:dyDescent="0.3">
      <c r="A2336" s="2">
        <v>2335</v>
      </c>
      <c r="B2336" s="1" t="s">
        <v>4966</v>
      </c>
      <c r="C2336" s="1" t="s">
        <v>4915</v>
      </c>
      <c r="D2336" s="1" t="s">
        <v>4916</v>
      </c>
      <c r="E2336" s="1" t="s">
        <v>4967</v>
      </c>
      <c r="F2336" s="1" t="str">
        <f>HYPERLINK("https://talan.bank.gov.ua/get-user-certificate/J5325V54Eerh-SR1ia_W","Завантажити сертифікат")</f>
        <v>Завантажити сертифікат</v>
      </c>
    </row>
    <row r="2337" spans="1:6" x14ac:dyDescent="0.3">
      <c r="A2337" s="2">
        <v>2336</v>
      </c>
      <c r="B2337" s="1" t="s">
        <v>4968</v>
      </c>
      <c r="C2337" s="1" t="s">
        <v>4915</v>
      </c>
      <c r="D2337" s="1" t="s">
        <v>4916</v>
      </c>
      <c r="E2337" s="1" t="s">
        <v>4969</v>
      </c>
      <c r="F2337" s="1" t="str">
        <f>HYPERLINK("https://talan.bank.gov.ua/get-user-certificate/J53259_gdQfSKiddxzAK","Завантажити сертифікат")</f>
        <v>Завантажити сертифікат</v>
      </c>
    </row>
    <row r="2338" spans="1:6" ht="28.8" x14ac:dyDescent="0.3">
      <c r="A2338" s="2">
        <v>2337</v>
      </c>
      <c r="B2338" s="1" t="s">
        <v>4970</v>
      </c>
      <c r="C2338" s="1" t="s">
        <v>4915</v>
      </c>
      <c r="D2338" s="1" t="s">
        <v>4916</v>
      </c>
      <c r="E2338" s="1" t="s">
        <v>4971</v>
      </c>
      <c r="F2338" s="1" t="str">
        <f>HYPERLINK("https://talan.bank.gov.ua/get-user-certificate/J5325FBKPffALVs_BDam","Завантажити сертифікат")</f>
        <v>Завантажити сертифікат</v>
      </c>
    </row>
    <row r="2339" spans="1:6" x14ac:dyDescent="0.3">
      <c r="A2339" s="2">
        <v>2338</v>
      </c>
      <c r="B2339" s="1" t="s">
        <v>4972</v>
      </c>
      <c r="C2339" s="1" t="s">
        <v>4915</v>
      </c>
      <c r="D2339" s="1" t="s">
        <v>4916</v>
      </c>
      <c r="E2339" s="1" t="s">
        <v>4973</v>
      </c>
      <c r="F2339" s="1" t="str">
        <f>HYPERLINK("https://talan.bank.gov.ua/get-user-certificate/J5325RXReEyz9sK3Q9ZU","Завантажити сертифікат")</f>
        <v>Завантажити сертифікат</v>
      </c>
    </row>
    <row r="2340" spans="1:6" x14ac:dyDescent="0.3">
      <c r="A2340" s="2">
        <v>2339</v>
      </c>
      <c r="B2340" s="1" t="s">
        <v>4974</v>
      </c>
      <c r="C2340" s="1" t="s">
        <v>4975</v>
      </c>
      <c r="D2340" s="1" t="s">
        <v>4976</v>
      </c>
      <c r="E2340" s="1" t="s">
        <v>4977</v>
      </c>
      <c r="F2340" s="1" t="str">
        <f>HYPERLINK("https://talan.bank.gov.ua/get-user-certificate/J5325FX_7hMjiSy9nl2k","Завантажити сертифікат")</f>
        <v>Завантажити сертифікат</v>
      </c>
    </row>
    <row r="2341" spans="1:6" x14ac:dyDescent="0.3">
      <c r="A2341" s="2">
        <v>2340</v>
      </c>
      <c r="B2341" s="1" t="s">
        <v>4978</v>
      </c>
      <c r="C2341" s="1" t="s">
        <v>4975</v>
      </c>
      <c r="D2341" s="1" t="s">
        <v>4976</v>
      </c>
      <c r="E2341" s="1" t="s">
        <v>4979</v>
      </c>
      <c r="F2341" s="1" t="str">
        <f>HYPERLINK("https://talan.bank.gov.ua/get-user-certificate/J5325qZkegW5lFdMBHaC","Завантажити сертифікат")</f>
        <v>Завантажити сертифікат</v>
      </c>
    </row>
    <row r="2342" spans="1:6" x14ac:dyDescent="0.3">
      <c r="A2342" s="2">
        <v>2341</v>
      </c>
      <c r="B2342" s="1" t="s">
        <v>4980</v>
      </c>
      <c r="C2342" s="1" t="s">
        <v>4975</v>
      </c>
      <c r="D2342" s="1" t="s">
        <v>4976</v>
      </c>
      <c r="E2342" s="1" t="s">
        <v>4981</v>
      </c>
      <c r="F2342" s="1" t="str">
        <f>HYPERLINK("https://talan.bank.gov.ua/get-user-certificate/J53253muAk-rDzEukaua","Завантажити сертифікат")</f>
        <v>Завантажити сертифікат</v>
      </c>
    </row>
    <row r="2343" spans="1:6" x14ac:dyDescent="0.3">
      <c r="A2343" s="2">
        <v>2342</v>
      </c>
      <c r="B2343" s="1" t="s">
        <v>4982</v>
      </c>
      <c r="C2343" s="1" t="s">
        <v>4975</v>
      </c>
      <c r="D2343" s="1" t="s">
        <v>4976</v>
      </c>
      <c r="E2343" s="1" t="s">
        <v>4983</v>
      </c>
      <c r="F2343" s="1" t="str">
        <f>HYPERLINK("https://talan.bank.gov.ua/get-user-certificate/J5325j2_8asE2QROYoao","Завантажити сертифікат")</f>
        <v>Завантажити сертифікат</v>
      </c>
    </row>
    <row r="2344" spans="1:6" x14ac:dyDescent="0.3">
      <c r="A2344" s="2">
        <v>2343</v>
      </c>
      <c r="B2344" s="1" t="s">
        <v>4984</v>
      </c>
      <c r="C2344" s="1" t="s">
        <v>4975</v>
      </c>
      <c r="D2344" s="1" t="s">
        <v>4976</v>
      </c>
      <c r="E2344" s="1" t="s">
        <v>4985</v>
      </c>
      <c r="F2344" s="1" t="str">
        <f>HYPERLINK("https://talan.bank.gov.ua/get-user-certificate/J5325BWloHpvgNShq7_H","Завантажити сертифікат")</f>
        <v>Завантажити сертифікат</v>
      </c>
    </row>
    <row r="2345" spans="1:6" x14ac:dyDescent="0.3">
      <c r="A2345" s="2">
        <v>2344</v>
      </c>
      <c r="B2345" s="1" t="s">
        <v>4986</v>
      </c>
      <c r="C2345" s="1" t="s">
        <v>4975</v>
      </c>
      <c r="D2345" s="1" t="s">
        <v>4976</v>
      </c>
      <c r="E2345" s="1" t="s">
        <v>4987</v>
      </c>
      <c r="F2345" s="1" t="str">
        <f>HYPERLINK("https://talan.bank.gov.ua/get-user-certificate/J5325KDL2lH5a4EQ_7QT","Завантажити сертифікат")</f>
        <v>Завантажити сертифікат</v>
      </c>
    </row>
    <row r="2346" spans="1:6" x14ac:dyDescent="0.3">
      <c r="A2346" s="2">
        <v>2345</v>
      </c>
      <c r="B2346" s="1" t="s">
        <v>4988</v>
      </c>
      <c r="C2346" s="1" t="s">
        <v>4975</v>
      </c>
      <c r="D2346" s="1" t="s">
        <v>4976</v>
      </c>
      <c r="E2346" s="1" t="s">
        <v>4989</v>
      </c>
      <c r="F2346" s="1" t="str">
        <f>HYPERLINK("https://talan.bank.gov.ua/get-user-certificate/J5325EEMgcDdTBeQ0rBN","Завантажити сертифікат")</f>
        <v>Завантажити сертифікат</v>
      </c>
    </row>
    <row r="2347" spans="1:6" x14ac:dyDescent="0.3">
      <c r="A2347" s="2">
        <v>2346</v>
      </c>
      <c r="B2347" s="1" t="s">
        <v>4990</v>
      </c>
      <c r="C2347" s="1" t="s">
        <v>4975</v>
      </c>
      <c r="D2347" s="1" t="s">
        <v>4976</v>
      </c>
      <c r="E2347" s="1" t="s">
        <v>4991</v>
      </c>
      <c r="F2347" s="1" t="str">
        <f>HYPERLINK("https://talan.bank.gov.ua/get-user-certificate/J5325-blPxod9lVKCKz1","Завантажити сертифікат")</f>
        <v>Завантажити сертифікат</v>
      </c>
    </row>
    <row r="2348" spans="1:6" x14ac:dyDescent="0.3">
      <c r="A2348" s="2">
        <v>2347</v>
      </c>
      <c r="B2348" s="1" t="s">
        <v>4992</v>
      </c>
      <c r="C2348" s="1" t="s">
        <v>4975</v>
      </c>
      <c r="D2348" s="1" t="s">
        <v>4976</v>
      </c>
      <c r="E2348" s="1" t="s">
        <v>4993</v>
      </c>
      <c r="F2348" s="1" t="str">
        <f>HYPERLINK("https://talan.bank.gov.ua/get-user-certificate/J5325AnulGiLh0r9GS6J","Завантажити сертифікат")</f>
        <v>Завантажити сертифікат</v>
      </c>
    </row>
    <row r="2349" spans="1:6" x14ac:dyDescent="0.3">
      <c r="A2349" s="2">
        <v>2348</v>
      </c>
      <c r="B2349" s="1" t="s">
        <v>4994</v>
      </c>
      <c r="C2349" s="1" t="s">
        <v>4995</v>
      </c>
      <c r="D2349" s="1" t="s">
        <v>4996</v>
      </c>
      <c r="E2349" s="1" t="s">
        <v>4997</v>
      </c>
      <c r="F2349" s="1" t="str">
        <f>HYPERLINK("https://talan.bank.gov.ua/get-user-certificate/J53256L_seFczW5ObXWt","Завантажити сертифікат")</f>
        <v>Завантажити сертифікат</v>
      </c>
    </row>
    <row r="2350" spans="1:6" x14ac:dyDescent="0.3">
      <c r="A2350" s="2">
        <v>2349</v>
      </c>
      <c r="B2350" s="1" t="s">
        <v>4998</v>
      </c>
      <c r="C2350" s="1" t="s">
        <v>4995</v>
      </c>
      <c r="D2350" s="1" t="s">
        <v>4996</v>
      </c>
      <c r="E2350" s="1" t="s">
        <v>4999</v>
      </c>
      <c r="F2350" s="1" t="str">
        <f>HYPERLINK("https://talan.bank.gov.ua/get-user-certificate/J5325XFX8ZNe5dVXzcyd","Завантажити сертифікат")</f>
        <v>Завантажити сертифікат</v>
      </c>
    </row>
    <row r="2351" spans="1:6" x14ac:dyDescent="0.3">
      <c r="A2351" s="2">
        <v>2350</v>
      </c>
      <c r="B2351" s="1" t="s">
        <v>5000</v>
      </c>
      <c r="C2351" s="1" t="s">
        <v>4995</v>
      </c>
      <c r="D2351" s="1" t="s">
        <v>4996</v>
      </c>
      <c r="E2351" s="1" t="s">
        <v>5001</v>
      </c>
      <c r="F2351" s="1" t="str">
        <f>HYPERLINK("https://talan.bank.gov.ua/get-user-certificate/J5325GCKgloGSRcgi-bA","Завантажити сертифікат")</f>
        <v>Завантажити сертифікат</v>
      </c>
    </row>
    <row r="2352" spans="1:6" x14ac:dyDescent="0.3">
      <c r="A2352" s="2">
        <v>2351</v>
      </c>
      <c r="B2352" s="1" t="s">
        <v>5002</v>
      </c>
      <c r="C2352" s="1" t="s">
        <v>4995</v>
      </c>
      <c r="D2352" s="1" t="s">
        <v>4996</v>
      </c>
      <c r="E2352" s="1" t="s">
        <v>5003</v>
      </c>
      <c r="F2352" s="1" t="str">
        <f>HYPERLINK("https://talan.bank.gov.ua/get-user-certificate/J5325cePYYX37Jx_qXjV","Завантажити сертифікат")</f>
        <v>Завантажити сертифікат</v>
      </c>
    </row>
    <row r="2353" spans="1:6" x14ac:dyDescent="0.3">
      <c r="A2353" s="2">
        <v>2352</v>
      </c>
      <c r="B2353" s="1" t="s">
        <v>5004</v>
      </c>
      <c r="C2353" s="1" t="s">
        <v>4995</v>
      </c>
      <c r="D2353" s="1" t="s">
        <v>4996</v>
      </c>
      <c r="E2353" s="1" t="s">
        <v>5005</v>
      </c>
      <c r="F2353" s="1" t="str">
        <f>HYPERLINK("https://talan.bank.gov.ua/get-user-certificate/J5325ge1vOgLYpZoxxh4","Завантажити сертифікат")</f>
        <v>Завантажити сертифікат</v>
      </c>
    </row>
    <row r="2354" spans="1:6" x14ac:dyDescent="0.3">
      <c r="A2354" s="2">
        <v>2353</v>
      </c>
      <c r="B2354" s="1" t="s">
        <v>5006</v>
      </c>
      <c r="C2354" s="1" t="s">
        <v>4995</v>
      </c>
      <c r="D2354" s="1" t="s">
        <v>4996</v>
      </c>
      <c r="E2354" s="1" t="s">
        <v>5007</v>
      </c>
      <c r="F2354" s="1" t="str">
        <f>HYPERLINK("https://talan.bank.gov.ua/get-user-certificate/J5325dND7s8gFp38uS6d","Завантажити сертифікат")</f>
        <v>Завантажити сертифікат</v>
      </c>
    </row>
    <row r="2355" spans="1:6" x14ac:dyDescent="0.3">
      <c r="A2355" s="2">
        <v>2354</v>
      </c>
      <c r="B2355" s="1" t="s">
        <v>5008</v>
      </c>
      <c r="C2355" s="1" t="s">
        <v>4995</v>
      </c>
      <c r="D2355" s="1" t="s">
        <v>4996</v>
      </c>
      <c r="E2355" s="1" t="s">
        <v>5009</v>
      </c>
      <c r="F2355" s="1" t="str">
        <f>HYPERLINK("https://talan.bank.gov.ua/get-user-certificate/J53257QpiBNhhMOWgR-X","Завантажити сертифікат")</f>
        <v>Завантажити сертифікат</v>
      </c>
    </row>
    <row r="2356" spans="1:6" x14ac:dyDescent="0.3">
      <c r="A2356" s="2">
        <v>2355</v>
      </c>
      <c r="B2356" s="1" t="s">
        <v>5010</v>
      </c>
      <c r="C2356" s="1" t="s">
        <v>4995</v>
      </c>
      <c r="D2356" s="1" t="s">
        <v>4996</v>
      </c>
      <c r="E2356" s="1" t="s">
        <v>5011</v>
      </c>
      <c r="F2356" s="1" t="str">
        <f>HYPERLINK("https://talan.bank.gov.ua/get-user-certificate/J53257uABiOnXnOSm1cs","Завантажити сертифікат")</f>
        <v>Завантажити сертифікат</v>
      </c>
    </row>
    <row r="2357" spans="1:6" x14ac:dyDescent="0.3">
      <c r="A2357" s="2">
        <v>2356</v>
      </c>
      <c r="B2357" s="1" t="s">
        <v>5012</v>
      </c>
      <c r="C2357" s="1" t="s">
        <v>4995</v>
      </c>
      <c r="D2357" s="1" t="s">
        <v>4996</v>
      </c>
      <c r="E2357" s="1" t="s">
        <v>5013</v>
      </c>
      <c r="F2357" s="1" t="str">
        <f>HYPERLINK("https://talan.bank.gov.ua/get-user-certificate/J5325Eb5yKW0xCDo19dD","Завантажити сертифікат")</f>
        <v>Завантажити сертифікат</v>
      </c>
    </row>
    <row r="2358" spans="1:6" x14ac:dyDescent="0.3">
      <c r="A2358" s="2">
        <v>2357</v>
      </c>
      <c r="B2358" s="1" t="s">
        <v>5014</v>
      </c>
      <c r="C2358" s="1" t="s">
        <v>4995</v>
      </c>
      <c r="D2358" s="1" t="s">
        <v>4996</v>
      </c>
      <c r="E2358" s="1" t="s">
        <v>5015</v>
      </c>
      <c r="F2358" s="1" t="str">
        <f>HYPERLINK("https://talan.bank.gov.ua/get-user-certificate/J5325HMpM0lTE6Z14HfS","Завантажити сертифікат")</f>
        <v>Завантажити сертифікат</v>
      </c>
    </row>
    <row r="2359" spans="1:6" x14ac:dyDescent="0.3">
      <c r="A2359" s="2">
        <v>2358</v>
      </c>
      <c r="B2359" s="1" t="s">
        <v>5016</v>
      </c>
      <c r="C2359" s="1" t="s">
        <v>4995</v>
      </c>
      <c r="D2359" s="1" t="s">
        <v>4996</v>
      </c>
      <c r="E2359" s="1" t="s">
        <v>5017</v>
      </c>
      <c r="F2359" s="1" t="str">
        <f>HYPERLINK("https://talan.bank.gov.ua/get-user-certificate/J5325wqkuG-N1LB1pEKR","Завантажити сертифікат")</f>
        <v>Завантажити сертифікат</v>
      </c>
    </row>
    <row r="2360" spans="1:6" x14ac:dyDescent="0.3">
      <c r="A2360" s="2">
        <v>2359</v>
      </c>
      <c r="B2360" s="1" t="s">
        <v>5018</v>
      </c>
      <c r="C2360" s="1" t="s">
        <v>4995</v>
      </c>
      <c r="D2360" s="1" t="s">
        <v>4996</v>
      </c>
      <c r="E2360" s="1" t="s">
        <v>5019</v>
      </c>
      <c r="F2360" s="1" t="str">
        <f>HYPERLINK("https://talan.bank.gov.ua/get-user-certificate/J5325NN2NYLIC612Z0p0","Завантажити сертифікат")</f>
        <v>Завантажити сертифікат</v>
      </c>
    </row>
    <row r="2361" spans="1:6" x14ac:dyDescent="0.3">
      <c r="A2361" s="2">
        <v>2360</v>
      </c>
      <c r="B2361" s="1" t="s">
        <v>5020</v>
      </c>
      <c r="C2361" s="1" t="s">
        <v>4995</v>
      </c>
      <c r="D2361" s="1" t="s">
        <v>4996</v>
      </c>
      <c r="E2361" s="1" t="s">
        <v>5021</v>
      </c>
      <c r="F2361" s="1" t="str">
        <f>HYPERLINK("https://talan.bank.gov.ua/get-user-certificate/J5325zjlmkQMIjNSr84O","Завантажити сертифікат")</f>
        <v>Завантажити сертифікат</v>
      </c>
    </row>
    <row r="2362" spans="1:6" x14ac:dyDescent="0.3">
      <c r="A2362" s="2">
        <v>2361</v>
      </c>
      <c r="B2362" s="1" t="s">
        <v>5022</v>
      </c>
      <c r="C2362" s="1" t="s">
        <v>4995</v>
      </c>
      <c r="D2362" s="1" t="s">
        <v>4996</v>
      </c>
      <c r="E2362" s="1" t="s">
        <v>5023</v>
      </c>
      <c r="F2362" s="1" t="str">
        <f>HYPERLINK("https://talan.bank.gov.ua/get-user-certificate/J53255JuzStKC4KpqMfQ","Завантажити сертифікат")</f>
        <v>Завантажити сертифікат</v>
      </c>
    </row>
    <row r="2363" spans="1:6" x14ac:dyDescent="0.3">
      <c r="A2363" s="2">
        <v>2362</v>
      </c>
      <c r="B2363" s="1" t="s">
        <v>5024</v>
      </c>
      <c r="C2363" s="1" t="s">
        <v>4995</v>
      </c>
      <c r="D2363" s="1" t="s">
        <v>4996</v>
      </c>
      <c r="E2363" s="1" t="s">
        <v>5025</v>
      </c>
      <c r="F2363" s="1" t="str">
        <f>HYPERLINK("https://talan.bank.gov.ua/get-user-certificate/J5325gU30Zazf17QovS_","Завантажити сертифікат")</f>
        <v>Завантажити сертифікат</v>
      </c>
    </row>
    <row r="2364" spans="1:6" x14ac:dyDescent="0.3">
      <c r="A2364" s="2">
        <v>2363</v>
      </c>
      <c r="B2364" s="1" t="s">
        <v>5026</v>
      </c>
      <c r="C2364" s="1" t="s">
        <v>4995</v>
      </c>
      <c r="D2364" s="1" t="s">
        <v>4996</v>
      </c>
      <c r="E2364" s="1" t="s">
        <v>5027</v>
      </c>
      <c r="F2364" s="1" t="str">
        <f>HYPERLINK("https://talan.bank.gov.ua/get-user-certificate/J5325-M0zPBypYGMeQqw","Завантажити сертифікат")</f>
        <v>Завантажити сертифікат</v>
      </c>
    </row>
    <row r="2365" spans="1:6" x14ac:dyDescent="0.3">
      <c r="A2365" s="2">
        <v>2364</v>
      </c>
      <c r="B2365" s="1" t="s">
        <v>5028</v>
      </c>
      <c r="C2365" s="1" t="s">
        <v>4995</v>
      </c>
      <c r="D2365" s="1" t="s">
        <v>4996</v>
      </c>
      <c r="E2365" s="1" t="s">
        <v>5027</v>
      </c>
      <c r="F2365" s="1" t="str">
        <f>HYPERLINK("https://talan.bank.gov.ua/get-user-certificate/J5325vju7u9W1_CD8SEu","Завантажити сертифікат")</f>
        <v>Завантажити сертифікат</v>
      </c>
    </row>
    <row r="2366" spans="1:6" x14ac:dyDescent="0.3">
      <c r="A2366" s="2">
        <v>2365</v>
      </c>
      <c r="B2366" s="1" t="s">
        <v>5029</v>
      </c>
      <c r="C2366" s="1" t="s">
        <v>4995</v>
      </c>
      <c r="D2366" s="1" t="s">
        <v>4996</v>
      </c>
      <c r="E2366" s="1" t="s">
        <v>5030</v>
      </c>
      <c r="F2366" s="1" t="str">
        <f>HYPERLINK("https://talan.bank.gov.ua/get-user-certificate/J5325nxWkt7kSzz6o59c","Завантажити сертифікат")</f>
        <v>Завантажити сертифікат</v>
      </c>
    </row>
    <row r="2367" spans="1:6" x14ac:dyDescent="0.3">
      <c r="A2367" s="2">
        <v>2366</v>
      </c>
      <c r="B2367" s="1" t="s">
        <v>5031</v>
      </c>
      <c r="C2367" s="1" t="s">
        <v>4995</v>
      </c>
      <c r="D2367" s="1" t="s">
        <v>4996</v>
      </c>
      <c r="E2367" s="1" t="s">
        <v>5032</v>
      </c>
      <c r="F2367" s="1" t="str">
        <f>HYPERLINK("https://talan.bank.gov.ua/get-user-certificate/J5325qVwN8Z_mgXtJn0E","Завантажити сертифікат")</f>
        <v>Завантажити сертифікат</v>
      </c>
    </row>
    <row r="2368" spans="1:6" x14ac:dyDescent="0.3">
      <c r="A2368" s="2">
        <v>2367</v>
      </c>
      <c r="B2368" s="1" t="s">
        <v>5033</v>
      </c>
      <c r="C2368" s="1" t="s">
        <v>4995</v>
      </c>
      <c r="D2368" s="1" t="s">
        <v>4996</v>
      </c>
      <c r="E2368" s="1" t="s">
        <v>5034</v>
      </c>
      <c r="F2368" s="1" t="str">
        <f>HYPERLINK("https://talan.bank.gov.ua/get-user-certificate/J5325aYZdudhp-neXJhu","Завантажити сертифікат")</f>
        <v>Завантажити сертифікат</v>
      </c>
    </row>
    <row r="2369" spans="1:6" x14ac:dyDescent="0.3">
      <c r="A2369" s="2">
        <v>2368</v>
      </c>
      <c r="B2369" s="1" t="s">
        <v>5035</v>
      </c>
      <c r="C2369" s="1" t="s">
        <v>4995</v>
      </c>
      <c r="D2369" s="1" t="s">
        <v>4996</v>
      </c>
      <c r="E2369" s="1" t="s">
        <v>5036</v>
      </c>
      <c r="F2369" s="1" t="str">
        <f>HYPERLINK("https://talan.bank.gov.ua/get-user-certificate/J5325vyne71CexqoEkPm","Завантажити сертифікат")</f>
        <v>Завантажити сертифікат</v>
      </c>
    </row>
    <row r="2370" spans="1:6" x14ac:dyDescent="0.3">
      <c r="A2370" s="2">
        <v>2369</v>
      </c>
      <c r="B2370" s="1" t="s">
        <v>5037</v>
      </c>
      <c r="C2370" s="1" t="s">
        <v>4995</v>
      </c>
      <c r="D2370" s="1" t="s">
        <v>4996</v>
      </c>
      <c r="E2370" s="1" t="s">
        <v>5038</v>
      </c>
      <c r="F2370" s="1" t="str">
        <f>HYPERLINK("https://talan.bank.gov.ua/get-user-certificate/J53258irpJKcTBxucWxD","Завантажити сертифікат")</f>
        <v>Завантажити сертифікат</v>
      </c>
    </row>
    <row r="2371" spans="1:6" x14ac:dyDescent="0.3">
      <c r="A2371" s="2">
        <v>2370</v>
      </c>
      <c r="B2371" s="1" t="s">
        <v>5039</v>
      </c>
      <c r="C2371" s="1" t="s">
        <v>4995</v>
      </c>
      <c r="D2371" s="1" t="s">
        <v>4996</v>
      </c>
      <c r="E2371" s="1" t="s">
        <v>5040</v>
      </c>
      <c r="F2371" s="1" t="str">
        <f>HYPERLINK("https://talan.bank.gov.ua/get-user-certificate/J5325IMayAmPS0C3D0Xi","Завантажити сертифікат")</f>
        <v>Завантажити сертифікат</v>
      </c>
    </row>
    <row r="2372" spans="1:6" x14ac:dyDescent="0.3">
      <c r="A2372" s="2">
        <v>2371</v>
      </c>
      <c r="B2372" s="1" t="s">
        <v>5041</v>
      </c>
      <c r="C2372" s="1" t="s">
        <v>4995</v>
      </c>
      <c r="D2372" s="1" t="s">
        <v>4996</v>
      </c>
      <c r="E2372" s="1" t="s">
        <v>5042</v>
      </c>
      <c r="F2372" s="1" t="str">
        <f>HYPERLINK("https://talan.bank.gov.ua/get-user-certificate/J5325hnZqzq-RYFzLMrf","Завантажити сертифікат")</f>
        <v>Завантажити сертифікат</v>
      </c>
    </row>
    <row r="2373" spans="1:6" x14ac:dyDescent="0.3">
      <c r="A2373" s="2">
        <v>2372</v>
      </c>
      <c r="B2373" s="1" t="s">
        <v>5043</v>
      </c>
      <c r="C2373" s="1" t="s">
        <v>4995</v>
      </c>
      <c r="D2373" s="1" t="s">
        <v>4996</v>
      </c>
      <c r="E2373" s="1" t="s">
        <v>5044</v>
      </c>
      <c r="F2373" s="1" t="str">
        <f>HYPERLINK("https://talan.bank.gov.ua/get-user-certificate/J5325tdLdSDJmI4rt2O7","Завантажити сертифікат")</f>
        <v>Завантажити сертифікат</v>
      </c>
    </row>
    <row r="2374" spans="1:6" x14ac:dyDescent="0.3">
      <c r="A2374" s="2">
        <v>2373</v>
      </c>
      <c r="B2374" s="1" t="s">
        <v>5045</v>
      </c>
      <c r="C2374" s="1" t="s">
        <v>4995</v>
      </c>
      <c r="D2374" s="1" t="s">
        <v>4996</v>
      </c>
      <c r="E2374" s="1" t="s">
        <v>5046</v>
      </c>
      <c r="F2374" s="1" t="str">
        <f>HYPERLINK("https://talan.bank.gov.ua/get-user-certificate/J5325GXZtLAL29A6oX0R","Завантажити сертифікат")</f>
        <v>Завантажити сертифікат</v>
      </c>
    </row>
    <row r="2375" spans="1:6" x14ac:dyDescent="0.3">
      <c r="A2375" s="2">
        <v>2374</v>
      </c>
      <c r="B2375" s="1" t="s">
        <v>5047</v>
      </c>
      <c r="C2375" s="1" t="s">
        <v>4995</v>
      </c>
      <c r="D2375" s="1" t="s">
        <v>4996</v>
      </c>
      <c r="E2375" s="1" t="s">
        <v>5048</v>
      </c>
      <c r="F2375" s="1" t="str">
        <f>HYPERLINK("https://talan.bank.gov.ua/get-user-certificate/J53250Dkv1jRaJRAEUDo","Завантажити сертифікат")</f>
        <v>Завантажити сертифікат</v>
      </c>
    </row>
    <row r="2376" spans="1:6" x14ac:dyDescent="0.3">
      <c r="A2376" s="2">
        <v>2375</v>
      </c>
      <c r="B2376" s="1" t="s">
        <v>5049</v>
      </c>
      <c r="C2376" s="1" t="s">
        <v>4995</v>
      </c>
      <c r="D2376" s="1" t="s">
        <v>4996</v>
      </c>
      <c r="E2376" s="1" t="s">
        <v>5050</v>
      </c>
      <c r="F2376" s="1" t="str">
        <f>HYPERLINK("https://talan.bank.gov.ua/get-user-certificate/J5325Kq0z6BMdsl6JUT4","Завантажити сертифікат")</f>
        <v>Завантажити сертифікат</v>
      </c>
    </row>
    <row r="2377" spans="1:6" x14ac:dyDescent="0.3">
      <c r="A2377" s="2">
        <v>2376</v>
      </c>
      <c r="B2377" s="1" t="s">
        <v>5051</v>
      </c>
      <c r="C2377" s="1" t="s">
        <v>4995</v>
      </c>
      <c r="D2377" s="1" t="s">
        <v>4996</v>
      </c>
      <c r="E2377" s="1" t="s">
        <v>5052</v>
      </c>
      <c r="F2377" s="1" t="str">
        <f>HYPERLINK("https://talan.bank.gov.ua/get-user-certificate/J5325dK-zWOEtrUrcJgl","Завантажити сертифікат")</f>
        <v>Завантажити сертифікат</v>
      </c>
    </row>
    <row r="2378" spans="1:6" x14ac:dyDescent="0.3">
      <c r="A2378" s="2">
        <v>2377</v>
      </c>
      <c r="B2378" s="1" t="s">
        <v>5053</v>
      </c>
      <c r="C2378" s="1" t="s">
        <v>4995</v>
      </c>
      <c r="D2378" s="1" t="s">
        <v>4996</v>
      </c>
      <c r="E2378" s="1" t="s">
        <v>5054</v>
      </c>
      <c r="F2378" s="1" t="str">
        <f>HYPERLINK("https://talan.bank.gov.ua/get-user-certificate/J5325IDcn9mYpRbNOFfx","Завантажити сертифікат")</f>
        <v>Завантажити сертифікат</v>
      </c>
    </row>
    <row r="2379" spans="1:6" x14ac:dyDescent="0.3">
      <c r="A2379" s="2">
        <v>2378</v>
      </c>
      <c r="B2379" s="1" t="s">
        <v>5055</v>
      </c>
      <c r="C2379" s="1" t="s">
        <v>4995</v>
      </c>
      <c r="D2379" s="1" t="s">
        <v>4996</v>
      </c>
      <c r="E2379" s="1" t="s">
        <v>5056</v>
      </c>
      <c r="F2379" s="1" t="str">
        <f>HYPERLINK("https://talan.bank.gov.ua/get-user-certificate/J5325c-e6BmiPXBMZCG1","Завантажити сертифікат")</f>
        <v>Завантажити сертифікат</v>
      </c>
    </row>
    <row r="2380" spans="1:6" x14ac:dyDescent="0.3">
      <c r="A2380" s="2">
        <v>2379</v>
      </c>
      <c r="B2380" s="1" t="s">
        <v>5057</v>
      </c>
      <c r="C2380" s="1" t="s">
        <v>4995</v>
      </c>
      <c r="D2380" s="1" t="s">
        <v>4996</v>
      </c>
      <c r="E2380" s="1" t="s">
        <v>5058</v>
      </c>
      <c r="F2380" s="1" t="str">
        <f>HYPERLINK("https://talan.bank.gov.ua/get-user-certificate/J5325yyCsi1LaD2_rD6I","Завантажити сертифікат")</f>
        <v>Завантажити сертифікат</v>
      </c>
    </row>
    <row r="2381" spans="1:6" x14ac:dyDescent="0.3">
      <c r="A2381" s="2">
        <v>2380</v>
      </c>
      <c r="B2381" s="1" t="s">
        <v>5059</v>
      </c>
      <c r="C2381" s="1" t="s">
        <v>4995</v>
      </c>
      <c r="D2381" s="1" t="s">
        <v>4996</v>
      </c>
      <c r="E2381" s="1" t="s">
        <v>5060</v>
      </c>
      <c r="F2381" s="1" t="str">
        <f>HYPERLINK("https://talan.bank.gov.ua/get-user-certificate/J5325Sh_98hqWZ0hmJMq","Завантажити сертифікат")</f>
        <v>Завантажити сертифікат</v>
      </c>
    </row>
    <row r="2382" spans="1:6" x14ac:dyDescent="0.3">
      <c r="A2382" s="2">
        <v>2381</v>
      </c>
      <c r="B2382" s="1" t="s">
        <v>5061</v>
      </c>
      <c r="C2382" s="1" t="s">
        <v>4995</v>
      </c>
      <c r="D2382" s="1" t="s">
        <v>4996</v>
      </c>
      <c r="E2382" s="1" t="s">
        <v>5062</v>
      </c>
      <c r="F2382" s="1" t="str">
        <f>HYPERLINK("https://talan.bank.gov.ua/get-user-certificate/J5325AQUoaGRZc2gc5ks","Завантажити сертифікат")</f>
        <v>Завантажити сертифікат</v>
      </c>
    </row>
    <row r="2383" spans="1:6" x14ac:dyDescent="0.3">
      <c r="A2383" s="2">
        <v>2382</v>
      </c>
      <c r="B2383" s="1" t="s">
        <v>5063</v>
      </c>
      <c r="C2383" s="1" t="s">
        <v>4995</v>
      </c>
      <c r="D2383" s="1" t="s">
        <v>4996</v>
      </c>
      <c r="E2383" s="1" t="s">
        <v>5064</v>
      </c>
      <c r="F2383" s="1" t="str">
        <f>HYPERLINK("https://talan.bank.gov.ua/get-user-certificate/J5325DekK6Doa91l1fLV","Завантажити сертифікат")</f>
        <v>Завантажити сертифікат</v>
      </c>
    </row>
    <row r="2384" spans="1:6" x14ac:dyDescent="0.3">
      <c r="A2384" s="2">
        <v>2383</v>
      </c>
      <c r="B2384" s="1" t="s">
        <v>5065</v>
      </c>
      <c r="C2384" s="1" t="s">
        <v>4995</v>
      </c>
      <c r="D2384" s="1" t="s">
        <v>4996</v>
      </c>
      <c r="E2384" s="1" t="s">
        <v>5066</v>
      </c>
      <c r="F2384" s="1" t="str">
        <f>HYPERLINK("https://talan.bank.gov.ua/get-user-certificate/J53254xY0kcXNa4ozX7H","Завантажити сертифікат")</f>
        <v>Завантажити сертифікат</v>
      </c>
    </row>
    <row r="2385" spans="1:6" x14ac:dyDescent="0.3">
      <c r="A2385" s="2">
        <v>2384</v>
      </c>
      <c r="B2385" s="1" t="s">
        <v>5067</v>
      </c>
      <c r="C2385" s="1" t="s">
        <v>4995</v>
      </c>
      <c r="D2385" s="1" t="s">
        <v>4996</v>
      </c>
      <c r="E2385" s="1" t="s">
        <v>5068</v>
      </c>
      <c r="F2385" s="1" t="str">
        <f>HYPERLINK("https://talan.bank.gov.ua/get-user-certificate/J5325RlE8T1wu-kkAqPM","Завантажити сертифікат")</f>
        <v>Завантажити сертифікат</v>
      </c>
    </row>
    <row r="2386" spans="1:6" x14ac:dyDescent="0.3">
      <c r="A2386" s="2">
        <v>2385</v>
      </c>
      <c r="B2386" s="1" t="s">
        <v>5069</v>
      </c>
      <c r="C2386" s="1" t="s">
        <v>4995</v>
      </c>
      <c r="D2386" s="1" t="s">
        <v>4996</v>
      </c>
      <c r="E2386" s="1" t="s">
        <v>5070</v>
      </c>
      <c r="F2386" s="1" t="str">
        <f>HYPERLINK("https://talan.bank.gov.ua/get-user-certificate/J5325kAecO0Zn2EN-tRN","Завантажити сертифікат")</f>
        <v>Завантажити сертифікат</v>
      </c>
    </row>
    <row r="2387" spans="1:6" x14ac:dyDescent="0.3">
      <c r="A2387" s="2">
        <v>2386</v>
      </c>
      <c r="B2387" s="1" t="s">
        <v>5071</v>
      </c>
      <c r="C2387" s="1" t="s">
        <v>4995</v>
      </c>
      <c r="D2387" s="1" t="s">
        <v>4996</v>
      </c>
      <c r="E2387" s="1" t="s">
        <v>5072</v>
      </c>
      <c r="F2387" s="1" t="str">
        <f>HYPERLINK("https://talan.bank.gov.ua/get-user-certificate/J53254BH-8uw9UCVwxPU","Завантажити сертифікат")</f>
        <v>Завантажити сертифікат</v>
      </c>
    </row>
    <row r="2388" spans="1:6" x14ac:dyDescent="0.3">
      <c r="A2388" s="2">
        <v>2387</v>
      </c>
      <c r="B2388" s="1" t="s">
        <v>5073</v>
      </c>
      <c r="C2388" s="1" t="s">
        <v>4995</v>
      </c>
      <c r="D2388" s="1" t="s">
        <v>4996</v>
      </c>
      <c r="E2388" s="1" t="s">
        <v>5074</v>
      </c>
      <c r="F2388" s="1" t="str">
        <f>HYPERLINK("https://talan.bank.gov.ua/get-user-certificate/J5325g4VNSqdN2CVtLB3","Завантажити сертифікат")</f>
        <v>Завантажити сертифікат</v>
      </c>
    </row>
    <row r="2389" spans="1:6" x14ac:dyDescent="0.3">
      <c r="A2389" s="2">
        <v>2388</v>
      </c>
      <c r="B2389" s="1" t="s">
        <v>5075</v>
      </c>
      <c r="C2389" s="1" t="s">
        <v>4995</v>
      </c>
      <c r="D2389" s="1" t="s">
        <v>4996</v>
      </c>
      <c r="E2389" s="1" t="s">
        <v>5076</v>
      </c>
      <c r="F2389" s="1" t="str">
        <f>HYPERLINK("https://talan.bank.gov.ua/get-user-certificate/J5325TBadoUJ2ritE5I-","Завантажити сертифікат")</f>
        <v>Завантажити сертифікат</v>
      </c>
    </row>
    <row r="2390" spans="1:6" x14ac:dyDescent="0.3">
      <c r="A2390" s="2">
        <v>2389</v>
      </c>
      <c r="B2390" s="1" t="s">
        <v>5077</v>
      </c>
      <c r="C2390" s="1" t="s">
        <v>4995</v>
      </c>
      <c r="D2390" s="1" t="s">
        <v>4996</v>
      </c>
      <c r="E2390" s="1" t="s">
        <v>5078</v>
      </c>
      <c r="F2390" s="1" t="str">
        <f>HYPERLINK("https://talan.bank.gov.ua/get-user-certificate/J5325Bghf8eWhUKu-Ht-","Завантажити сертифікат")</f>
        <v>Завантажити сертифікат</v>
      </c>
    </row>
    <row r="2391" spans="1:6" x14ac:dyDescent="0.3">
      <c r="A2391" s="2">
        <v>2390</v>
      </c>
      <c r="B2391" s="1" t="s">
        <v>5079</v>
      </c>
      <c r="C2391" s="1" t="s">
        <v>4995</v>
      </c>
      <c r="D2391" s="1" t="s">
        <v>4996</v>
      </c>
      <c r="E2391" s="1" t="s">
        <v>5080</v>
      </c>
      <c r="F2391" s="1" t="str">
        <f>HYPERLINK("https://talan.bank.gov.ua/get-user-certificate/J5325zTeQwUpscL-OF7X","Завантажити сертифікат")</f>
        <v>Завантажити сертифікат</v>
      </c>
    </row>
    <row r="2392" spans="1:6" x14ac:dyDescent="0.3">
      <c r="A2392" s="2">
        <v>2391</v>
      </c>
      <c r="B2392" s="1" t="s">
        <v>5081</v>
      </c>
      <c r="C2392" s="1" t="s">
        <v>4995</v>
      </c>
      <c r="D2392" s="1" t="s">
        <v>4996</v>
      </c>
      <c r="E2392" s="1" t="s">
        <v>5082</v>
      </c>
      <c r="F2392" s="1" t="str">
        <f>HYPERLINK("https://talan.bank.gov.ua/get-user-certificate/J5325jjKlFCRzJnmalmK","Завантажити сертифікат")</f>
        <v>Завантажити сертифікат</v>
      </c>
    </row>
    <row r="2393" spans="1:6" x14ac:dyDescent="0.3">
      <c r="A2393" s="2">
        <v>2392</v>
      </c>
      <c r="B2393" s="1" t="s">
        <v>5083</v>
      </c>
      <c r="C2393" s="1" t="s">
        <v>4995</v>
      </c>
      <c r="D2393" s="1" t="s">
        <v>4996</v>
      </c>
      <c r="E2393" s="1" t="s">
        <v>5084</v>
      </c>
      <c r="F2393" s="1" t="str">
        <f>HYPERLINK("https://talan.bank.gov.ua/get-user-certificate/J5325k23V68ErmnFCzDc","Завантажити сертифікат")</f>
        <v>Завантажити сертифікат</v>
      </c>
    </row>
    <row r="2394" spans="1:6" x14ac:dyDescent="0.3">
      <c r="A2394" s="2">
        <v>2393</v>
      </c>
      <c r="B2394" s="1" t="s">
        <v>5085</v>
      </c>
      <c r="C2394" s="1" t="s">
        <v>4995</v>
      </c>
      <c r="D2394" s="1" t="s">
        <v>4996</v>
      </c>
      <c r="E2394" s="1" t="s">
        <v>5086</v>
      </c>
      <c r="F2394" s="1" t="str">
        <f>HYPERLINK("https://talan.bank.gov.ua/get-user-certificate/J5325YGCZP0AOvB_NRYz","Завантажити сертифікат")</f>
        <v>Завантажити сертифікат</v>
      </c>
    </row>
    <row r="2395" spans="1:6" x14ac:dyDescent="0.3">
      <c r="A2395" s="2">
        <v>2394</v>
      </c>
      <c r="B2395" s="1" t="s">
        <v>5087</v>
      </c>
      <c r="C2395" s="1" t="s">
        <v>4995</v>
      </c>
      <c r="D2395" s="1" t="s">
        <v>4996</v>
      </c>
      <c r="E2395" s="1" t="s">
        <v>5088</v>
      </c>
      <c r="F2395" s="1" t="str">
        <f>HYPERLINK("https://talan.bank.gov.ua/get-user-certificate/J5325yCJ_LS03A-EcYB5","Завантажити сертифікат")</f>
        <v>Завантажити сертифікат</v>
      </c>
    </row>
    <row r="2396" spans="1:6" x14ac:dyDescent="0.3">
      <c r="A2396" s="2">
        <v>2395</v>
      </c>
      <c r="B2396" s="1" t="s">
        <v>5089</v>
      </c>
      <c r="C2396" s="1" t="s">
        <v>4995</v>
      </c>
      <c r="D2396" s="1" t="s">
        <v>4996</v>
      </c>
      <c r="E2396" s="1" t="s">
        <v>5090</v>
      </c>
      <c r="F2396" s="1" t="str">
        <f>HYPERLINK("https://talan.bank.gov.ua/get-user-certificate/J5325ggrlDqtaqF2E5iQ","Завантажити сертифікат")</f>
        <v>Завантажити сертифікат</v>
      </c>
    </row>
    <row r="2397" spans="1:6" x14ac:dyDescent="0.3">
      <c r="A2397" s="2">
        <v>2396</v>
      </c>
      <c r="B2397" s="1" t="s">
        <v>5091</v>
      </c>
      <c r="C2397" s="1" t="s">
        <v>4995</v>
      </c>
      <c r="D2397" s="1" t="s">
        <v>4996</v>
      </c>
      <c r="E2397" s="1" t="s">
        <v>5092</v>
      </c>
      <c r="F2397" s="1" t="str">
        <f>HYPERLINK("https://talan.bank.gov.ua/get-user-certificate/J5325CuDHBClulRQOAFw","Завантажити сертифікат")</f>
        <v>Завантажити сертифікат</v>
      </c>
    </row>
    <row r="2398" spans="1:6" x14ac:dyDescent="0.3">
      <c r="A2398" s="2">
        <v>2397</v>
      </c>
      <c r="B2398" s="1" t="s">
        <v>5093</v>
      </c>
      <c r="C2398" s="1" t="s">
        <v>4995</v>
      </c>
      <c r="D2398" s="1" t="s">
        <v>4996</v>
      </c>
      <c r="E2398" s="1" t="s">
        <v>5094</v>
      </c>
      <c r="F2398" s="1" t="str">
        <f>HYPERLINK("https://talan.bank.gov.ua/get-user-certificate/J53257oBPVZVD8vKnxz4","Завантажити сертифікат")</f>
        <v>Завантажити сертифікат</v>
      </c>
    </row>
    <row r="2399" spans="1:6" x14ac:dyDescent="0.3">
      <c r="A2399" s="2">
        <v>2398</v>
      </c>
      <c r="B2399" s="1" t="s">
        <v>5095</v>
      </c>
      <c r="C2399" s="1" t="s">
        <v>4995</v>
      </c>
      <c r="D2399" s="1" t="s">
        <v>4996</v>
      </c>
      <c r="E2399" s="1" t="s">
        <v>5096</v>
      </c>
      <c r="F2399" s="1" t="str">
        <f>HYPERLINK("https://talan.bank.gov.ua/get-user-certificate/J5325-pjrcq1dbyhSCEl","Завантажити сертифікат")</f>
        <v>Завантажити сертифікат</v>
      </c>
    </row>
    <row r="2400" spans="1:6" x14ac:dyDescent="0.3">
      <c r="A2400" s="2">
        <v>2399</v>
      </c>
      <c r="B2400" s="1" t="s">
        <v>5097</v>
      </c>
      <c r="C2400" s="1" t="s">
        <v>4995</v>
      </c>
      <c r="D2400" s="1" t="s">
        <v>4996</v>
      </c>
      <c r="E2400" s="1" t="s">
        <v>5098</v>
      </c>
      <c r="F2400" s="1" t="str">
        <f>HYPERLINK("https://talan.bank.gov.ua/get-user-certificate/J5325H9WO85lP9bMwSfw","Завантажити сертифікат")</f>
        <v>Завантажити сертифікат</v>
      </c>
    </row>
    <row r="2401" spans="1:6" x14ac:dyDescent="0.3">
      <c r="A2401" s="2">
        <v>2400</v>
      </c>
      <c r="B2401" s="1" t="s">
        <v>5099</v>
      </c>
      <c r="C2401" s="1" t="s">
        <v>4995</v>
      </c>
      <c r="D2401" s="1" t="s">
        <v>4996</v>
      </c>
      <c r="E2401" s="1" t="s">
        <v>5100</v>
      </c>
      <c r="F2401" s="1" t="str">
        <f>HYPERLINK("https://talan.bank.gov.ua/get-user-certificate/J5325nK9xaau8mPMaE7b","Завантажити сертифікат")</f>
        <v>Завантажити сертифікат</v>
      </c>
    </row>
    <row r="2402" spans="1:6" x14ac:dyDescent="0.3">
      <c r="A2402" s="2">
        <v>2401</v>
      </c>
      <c r="B2402" s="1" t="s">
        <v>5101</v>
      </c>
      <c r="C2402" s="1" t="s">
        <v>4995</v>
      </c>
      <c r="D2402" s="1" t="s">
        <v>4996</v>
      </c>
      <c r="E2402" s="1" t="s">
        <v>5102</v>
      </c>
      <c r="F2402" s="1" t="str">
        <f>HYPERLINK("https://talan.bank.gov.ua/get-user-certificate/J5325b2rkj5Dco_SyF4x","Завантажити сертифікат")</f>
        <v>Завантажити сертифікат</v>
      </c>
    </row>
    <row r="2403" spans="1:6" x14ac:dyDescent="0.3">
      <c r="A2403" s="2">
        <v>2402</v>
      </c>
      <c r="B2403" s="1" t="s">
        <v>5103</v>
      </c>
      <c r="C2403" s="1" t="s">
        <v>4995</v>
      </c>
      <c r="D2403" s="1" t="s">
        <v>4996</v>
      </c>
      <c r="E2403" s="1" t="s">
        <v>5104</v>
      </c>
      <c r="F2403" s="1" t="str">
        <f>HYPERLINK("https://talan.bank.gov.ua/get-user-certificate/J5325Nn8md4zzLLBMbMu","Завантажити сертифікат")</f>
        <v>Завантажити сертифікат</v>
      </c>
    </row>
    <row r="2404" spans="1:6" x14ac:dyDescent="0.3">
      <c r="A2404" s="2">
        <v>2403</v>
      </c>
      <c r="B2404" s="1" t="s">
        <v>5105</v>
      </c>
      <c r="C2404" s="1" t="s">
        <v>4995</v>
      </c>
      <c r="D2404" s="1" t="s">
        <v>4996</v>
      </c>
      <c r="E2404" s="1" t="s">
        <v>5106</v>
      </c>
      <c r="F2404" s="1" t="str">
        <f>HYPERLINK("https://talan.bank.gov.ua/get-user-certificate/J53253FBx0oJ2Jk3WRNf","Завантажити сертифікат")</f>
        <v>Завантажити сертифікат</v>
      </c>
    </row>
    <row r="2405" spans="1:6" x14ac:dyDescent="0.3">
      <c r="A2405" s="2">
        <v>2404</v>
      </c>
      <c r="B2405" s="1" t="s">
        <v>5107</v>
      </c>
      <c r="C2405" s="1" t="s">
        <v>4995</v>
      </c>
      <c r="D2405" s="1" t="s">
        <v>4996</v>
      </c>
      <c r="E2405" s="1" t="s">
        <v>5108</v>
      </c>
      <c r="F2405" s="1" t="str">
        <f>HYPERLINK("https://talan.bank.gov.ua/get-user-certificate/J5325TPXGfDaMAtY_IXy","Завантажити сертифікат")</f>
        <v>Завантажити сертифікат</v>
      </c>
    </row>
    <row r="2406" spans="1:6" x14ac:dyDescent="0.3">
      <c r="A2406" s="2">
        <v>2405</v>
      </c>
      <c r="B2406" s="1" t="s">
        <v>5109</v>
      </c>
      <c r="C2406" s="1" t="s">
        <v>4995</v>
      </c>
      <c r="D2406" s="1" t="s">
        <v>4996</v>
      </c>
      <c r="E2406" s="1" t="s">
        <v>5110</v>
      </c>
      <c r="F2406" s="1" t="str">
        <f>HYPERLINK("https://talan.bank.gov.ua/get-user-certificate/J5325iOP55DXwS3LBXvq","Завантажити сертифікат")</f>
        <v>Завантажити сертифікат</v>
      </c>
    </row>
    <row r="2407" spans="1:6" x14ac:dyDescent="0.3">
      <c r="A2407" s="2">
        <v>2406</v>
      </c>
      <c r="B2407" s="1" t="s">
        <v>5111</v>
      </c>
      <c r="C2407" s="1" t="s">
        <v>4995</v>
      </c>
      <c r="D2407" s="1" t="s">
        <v>4996</v>
      </c>
      <c r="E2407" s="1" t="s">
        <v>5112</v>
      </c>
      <c r="F2407" s="1" t="str">
        <f>HYPERLINK("https://talan.bank.gov.ua/get-user-certificate/J5325SrAZnvhUieYZ18E","Завантажити сертифікат")</f>
        <v>Завантажити сертифікат</v>
      </c>
    </row>
    <row r="2408" spans="1:6" x14ac:dyDescent="0.3">
      <c r="A2408" s="2">
        <v>2407</v>
      </c>
      <c r="B2408" s="1" t="s">
        <v>5113</v>
      </c>
      <c r="C2408" s="1" t="s">
        <v>4995</v>
      </c>
      <c r="D2408" s="1" t="s">
        <v>4996</v>
      </c>
      <c r="E2408" s="1" t="s">
        <v>5114</v>
      </c>
      <c r="F2408" s="1" t="str">
        <f>HYPERLINK("https://talan.bank.gov.ua/get-user-certificate/J5325LhT3zyi943KG9ge","Завантажити сертифікат")</f>
        <v>Завантажити сертифікат</v>
      </c>
    </row>
    <row r="2409" spans="1:6" x14ac:dyDescent="0.3">
      <c r="A2409" s="2">
        <v>2408</v>
      </c>
      <c r="B2409" s="1" t="s">
        <v>5115</v>
      </c>
      <c r="C2409" s="1" t="s">
        <v>4995</v>
      </c>
      <c r="D2409" s="1" t="s">
        <v>4996</v>
      </c>
      <c r="E2409" s="1" t="s">
        <v>5116</v>
      </c>
      <c r="F2409" s="1" t="str">
        <f>HYPERLINK("https://talan.bank.gov.ua/get-user-certificate/J5325X_SP1YEvjbUpcGQ","Завантажити сертифікат")</f>
        <v>Завантажити сертифікат</v>
      </c>
    </row>
    <row r="2410" spans="1:6" x14ac:dyDescent="0.3">
      <c r="A2410" s="2">
        <v>2409</v>
      </c>
      <c r="B2410" s="1" t="s">
        <v>5117</v>
      </c>
      <c r="C2410" s="1" t="s">
        <v>4995</v>
      </c>
      <c r="D2410" s="1" t="s">
        <v>4996</v>
      </c>
      <c r="E2410" s="1" t="s">
        <v>5118</v>
      </c>
      <c r="F2410" s="1" t="str">
        <f>HYPERLINK("https://talan.bank.gov.ua/get-user-certificate/J53253bBjaH97B66ZnjW","Завантажити сертифікат")</f>
        <v>Завантажити сертифікат</v>
      </c>
    </row>
    <row r="2411" spans="1:6" x14ac:dyDescent="0.3">
      <c r="A2411" s="2">
        <v>2410</v>
      </c>
      <c r="B2411" s="1" t="s">
        <v>5119</v>
      </c>
      <c r="C2411" s="1" t="s">
        <v>4995</v>
      </c>
      <c r="D2411" s="1" t="s">
        <v>4996</v>
      </c>
      <c r="E2411" s="1" t="s">
        <v>5120</v>
      </c>
      <c r="F2411" s="1" t="str">
        <f>HYPERLINK("https://talan.bank.gov.ua/get-user-certificate/J53259zijF0nRAgprLSR","Завантажити сертифікат")</f>
        <v>Завантажити сертифікат</v>
      </c>
    </row>
    <row r="2412" spans="1:6" x14ac:dyDescent="0.3">
      <c r="A2412" s="2">
        <v>2411</v>
      </c>
      <c r="B2412" s="1" t="s">
        <v>5121</v>
      </c>
      <c r="C2412" s="1" t="s">
        <v>4995</v>
      </c>
      <c r="D2412" s="1" t="s">
        <v>4996</v>
      </c>
      <c r="E2412" s="1" t="s">
        <v>5122</v>
      </c>
      <c r="F2412" s="1" t="str">
        <f>HYPERLINK("https://talan.bank.gov.ua/get-user-certificate/J53259SCeCZmmUNPHb-1","Завантажити сертифікат")</f>
        <v>Завантажити сертифікат</v>
      </c>
    </row>
    <row r="2413" spans="1:6" x14ac:dyDescent="0.3">
      <c r="A2413" s="2">
        <v>2412</v>
      </c>
      <c r="B2413" s="1" t="s">
        <v>5123</v>
      </c>
      <c r="C2413" s="1" t="s">
        <v>4995</v>
      </c>
      <c r="D2413" s="1" t="s">
        <v>4996</v>
      </c>
      <c r="E2413" s="1" t="s">
        <v>5124</v>
      </c>
      <c r="F2413" s="1" t="str">
        <f>HYPERLINK("https://talan.bank.gov.ua/get-user-certificate/J5325ac5_l9u8r6aACht","Завантажити сертифікат")</f>
        <v>Завантажити сертифікат</v>
      </c>
    </row>
    <row r="2414" spans="1:6" x14ac:dyDescent="0.3">
      <c r="A2414" s="2">
        <v>2413</v>
      </c>
      <c r="B2414" s="1" t="s">
        <v>5125</v>
      </c>
      <c r="C2414" s="1" t="s">
        <v>4995</v>
      </c>
      <c r="D2414" s="1" t="s">
        <v>4996</v>
      </c>
      <c r="E2414" s="1" t="s">
        <v>5126</v>
      </c>
      <c r="F2414" s="1" t="str">
        <f>HYPERLINK("https://talan.bank.gov.ua/get-user-certificate/J5325coEbznOUt9GVM_r","Завантажити сертифікат")</f>
        <v>Завантажити сертифікат</v>
      </c>
    </row>
    <row r="2415" spans="1:6" x14ac:dyDescent="0.3">
      <c r="A2415" s="2">
        <v>2414</v>
      </c>
      <c r="B2415" s="1" t="s">
        <v>5127</v>
      </c>
      <c r="C2415" s="1" t="s">
        <v>4995</v>
      </c>
      <c r="D2415" s="1" t="s">
        <v>4996</v>
      </c>
      <c r="E2415" s="1" t="s">
        <v>5128</v>
      </c>
      <c r="F2415" s="1" t="str">
        <f>HYPERLINK("https://talan.bank.gov.ua/get-user-certificate/J5325OkOxWNjbgCHG9bu","Завантажити сертифікат")</f>
        <v>Завантажити сертифікат</v>
      </c>
    </row>
    <row r="2416" spans="1:6" x14ac:dyDescent="0.3">
      <c r="A2416" s="2">
        <v>2415</v>
      </c>
      <c r="B2416" s="1" t="s">
        <v>5129</v>
      </c>
      <c r="C2416" s="1" t="s">
        <v>4995</v>
      </c>
      <c r="D2416" s="1" t="s">
        <v>4996</v>
      </c>
      <c r="E2416" s="1" t="s">
        <v>5130</v>
      </c>
      <c r="F2416" s="1" t="str">
        <f>HYPERLINK("https://talan.bank.gov.ua/get-user-certificate/J5325M2D-lj9kDry5qIy","Завантажити сертифікат")</f>
        <v>Завантажити сертифікат</v>
      </c>
    </row>
    <row r="2417" spans="1:6" x14ac:dyDescent="0.3">
      <c r="A2417" s="2">
        <v>2416</v>
      </c>
      <c r="B2417" s="1" t="s">
        <v>5131</v>
      </c>
      <c r="C2417" s="1" t="s">
        <v>4995</v>
      </c>
      <c r="D2417" s="1" t="s">
        <v>4996</v>
      </c>
      <c r="E2417" s="1" t="s">
        <v>5132</v>
      </c>
      <c r="F2417" s="1" t="str">
        <f>HYPERLINK("https://talan.bank.gov.ua/get-user-certificate/J532568eT5HSE34URyZt","Завантажити сертифікат")</f>
        <v>Завантажити сертифікат</v>
      </c>
    </row>
    <row r="2418" spans="1:6" x14ac:dyDescent="0.3">
      <c r="A2418" s="2">
        <v>2417</v>
      </c>
      <c r="B2418" s="1" t="s">
        <v>5133</v>
      </c>
      <c r="C2418" s="1" t="s">
        <v>4995</v>
      </c>
      <c r="D2418" s="1" t="s">
        <v>4996</v>
      </c>
      <c r="E2418" s="1" t="s">
        <v>5134</v>
      </c>
      <c r="F2418" s="1" t="str">
        <f>HYPERLINK("https://talan.bank.gov.ua/get-user-certificate/J5325lFLmYqFmC084jPy","Завантажити сертифікат")</f>
        <v>Завантажити сертифікат</v>
      </c>
    </row>
    <row r="2419" spans="1:6" x14ac:dyDescent="0.3">
      <c r="A2419" s="2">
        <v>2418</v>
      </c>
      <c r="B2419" s="1" t="s">
        <v>5135</v>
      </c>
      <c r="C2419" s="1" t="s">
        <v>4995</v>
      </c>
      <c r="D2419" s="1" t="s">
        <v>4996</v>
      </c>
      <c r="E2419" s="1" t="s">
        <v>5136</v>
      </c>
      <c r="F2419" s="1" t="str">
        <f>HYPERLINK("https://talan.bank.gov.ua/get-user-certificate/J5325qrffIr001heSIty","Завантажити сертифікат")</f>
        <v>Завантажити сертифікат</v>
      </c>
    </row>
    <row r="2420" spans="1:6" x14ac:dyDescent="0.3">
      <c r="A2420" s="2">
        <v>2419</v>
      </c>
      <c r="B2420" s="1" t="s">
        <v>5137</v>
      </c>
      <c r="C2420" s="1" t="s">
        <v>4995</v>
      </c>
      <c r="D2420" s="1" t="s">
        <v>4996</v>
      </c>
      <c r="E2420" s="1" t="s">
        <v>5138</v>
      </c>
      <c r="F2420" s="1" t="str">
        <f>HYPERLINK("https://talan.bank.gov.ua/get-user-certificate/J5325YET5x-PJ1TaP4jN","Завантажити сертифікат")</f>
        <v>Завантажити сертифікат</v>
      </c>
    </row>
    <row r="2421" spans="1:6" x14ac:dyDescent="0.3">
      <c r="A2421" s="2">
        <v>2420</v>
      </c>
      <c r="B2421" s="1" t="s">
        <v>5139</v>
      </c>
      <c r="C2421" s="1" t="s">
        <v>4995</v>
      </c>
      <c r="D2421" s="1" t="s">
        <v>4996</v>
      </c>
      <c r="E2421" s="1" t="s">
        <v>5140</v>
      </c>
      <c r="F2421" s="1" t="str">
        <f>HYPERLINK("https://talan.bank.gov.ua/get-user-certificate/J5325aQomebP-chDEx5C","Завантажити сертифікат")</f>
        <v>Завантажити сертифікат</v>
      </c>
    </row>
    <row r="2422" spans="1:6" x14ac:dyDescent="0.3">
      <c r="A2422" s="2">
        <v>2421</v>
      </c>
      <c r="B2422" s="1" t="s">
        <v>5141</v>
      </c>
      <c r="C2422" s="1" t="s">
        <v>4995</v>
      </c>
      <c r="D2422" s="1" t="s">
        <v>4996</v>
      </c>
      <c r="E2422" s="1" t="s">
        <v>5142</v>
      </c>
      <c r="F2422" s="1" t="str">
        <f>HYPERLINK("https://talan.bank.gov.ua/get-user-certificate/J53255l6FolfjGJbvdoz","Завантажити сертифікат")</f>
        <v>Завантажити сертифікат</v>
      </c>
    </row>
    <row r="2423" spans="1:6" x14ac:dyDescent="0.3">
      <c r="A2423" s="2">
        <v>2422</v>
      </c>
      <c r="B2423" s="1" t="s">
        <v>5143</v>
      </c>
      <c r="C2423" s="1" t="s">
        <v>4995</v>
      </c>
      <c r="D2423" s="1" t="s">
        <v>4996</v>
      </c>
      <c r="E2423" s="1" t="s">
        <v>5144</v>
      </c>
      <c r="F2423" s="1" t="str">
        <f>HYPERLINK("https://talan.bank.gov.ua/get-user-certificate/J5325p2InySUZmiy1EwR","Завантажити сертифікат")</f>
        <v>Завантажити сертифікат</v>
      </c>
    </row>
    <row r="2424" spans="1:6" x14ac:dyDescent="0.3">
      <c r="A2424" s="2">
        <v>2423</v>
      </c>
      <c r="B2424" s="1" t="s">
        <v>5145</v>
      </c>
      <c r="C2424" s="1" t="s">
        <v>4995</v>
      </c>
      <c r="D2424" s="1" t="s">
        <v>4996</v>
      </c>
      <c r="E2424" s="1" t="s">
        <v>5146</v>
      </c>
      <c r="F2424" s="1" t="str">
        <f>HYPERLINK("https://talan.bank.gov.ua/get-user-certificate/J5325bwfP3zP6yJ2KRYZ","Завантажити сертифікат")</f>
        <v>Завантажити сертифікат</v>
      </c>
    </row>
    <row r="2425" spans="1:6" x14ac:dyDescent="0.3">
      <c r="A2425" s="2">
        <v>2424</v>
      </c>
      <c r="B2425" s="1" t="s">
        <v>5147</v>
      </c>
      <c r="C2425" s="1" t="s">
        <v>4995</v>
      </c>
      <c r="D2425" s="1" t="s">
        <v>4996</v>
      </c>
      <c r="E2425" s="1" t="s">
        <v>5148</v>
      </c>
      <c r="F2425" s="1" t="str">
        <f>HYPERLINK("https://talan.bank.gov.ua/get-user-certificate/J5325rzTr6Awev5i_BHk","Завантажити сертифікат")</f>
        <v>Завантажити сертифікат</v>
      </c>
    </row>
    <row r="2426" spans="1:6" x14ac:dyDescent="0.3">
      <c r="A2426" s="2">
        <v>2425</v>
      </c>
      <c r="B2426" s="1" t="s">
        <v>5149</v>
      </c>
      <c r="C2426" s="1" t="s">
        <v>4995</v>
      </c>
      <c r="D2426" s="1" t="s">
        <v>4996</v>
      </c>
      <c r="E2426" s="1" t="s">
        <v>5150</v>
      </c>
      <c r="F2426" s="1" t="str">
        <f>HYPERLINK("https://talan.bank.gov.ua/get-user-certificate/J5325Hwmd-6WZvvWm17v","Завантажити сертифікат")</f>
        <v>Завантажити сертифікат</v>
      </c>
    </row>
    <row r="2427" spans="1:6" x14ac:dyDescent="0.3">
      <c r="A2427" s="2">
        <v>2426</v>
      </c>
      <c r="B2427" s="1" t="s">
        <v>5151</v>
      </c>
      <c r="C2427" s="1" t="s">
        <v>4995</v>
      </c>
      <c r="D2427" s="1" t="s">
        <v>4996</v>
      </c>
      <c r="E2427" s="1" t="s">
        <v>5152</v>
      </c>
      <c r="F2427" s="1" t="str">
        <f>HYPERLINK("https://talan.bank.gov.ua/get-user-certificate/J5325ErIoM3Li6fyeWrR","Завантажити сертифікат")</f>
        <v>Завантажити сертифікат</v>
      </c>
    </row>
    <row r="2428" spans="1:6" x14ac:dyDescent="0.3">
      <c r="A2428" s="2">
        <v>2427</v>
      </c>
      <c r="B2428" s="1" t="s">
        <v>5153</v>
      </c>
      <c r="C2428" s="1" t="s">
        <v>4995</v>
      </c>
      <c r="D2428" s="1" t="s">
        <v>4996</v>
      </c>
      <c r="E2428" s="1" t="s">
        <v>5154</v>
      </c>
      <c r="F2428" s="1" t="str">
        <f>HYPERLINK("https://talan.bank.gov.ua/get-user-certificate/J5325HXI8hdZEjOYCdtq","Завантажити сертифікат")</f>
        <v>Завантажити сертифікат</v>
      </c>
    </row>
    <row r="2429" spans="1:6" x14ac:dyDescent="0.3">
      <c r="A2429" s="2">
        <v>2428</v>
      </c>
      <c r="B2429" s="1" t="s">
        <v>5155</v>
      </c>
      <c r="C2429" s="1" t="s">
        <v>4995</v>
      </c>
      <c r="D2429" s="1" t="s">
        <v>4996</v>
      </c>
      <c r="E2429" s="1" t="s">
        <v>5156</v>
      </c>
      <c r="F2429" s="1" t="str">
        <f>HYPERLINK("https://talan.bank.gov.ua/get-user-certificate/J5325Cpl7A1mOUu2zufE","Завантажити сертифікат")</f>
        <v>Завантажити сертифікат</v>
      </c>
    </row>
    <row r="2430" spans="1:6" x14ac:dyDescent="0.3">
      <c r="A2430" s="2">
        <v>2429</v>
      </c>
      <c r="B2430" s="1" t="s">
        <v>5157</v>
      </c>
      <c r="C2430" s="1" t="s">
        <v>4995</v>
      </c>
      <c r="D2430" s="1" t="s">
        <v>4996</v>
      </c>
      <c r="E2430" s="1" t="s">
        <v>5158</v>
      </c>
      <c r="F2430" s="1" t="str">
        <f>HYPERLINK("https://talan.bank.gov.ua/get-user-certificate/J53250q5aL2Q_ona-kkT","Завантажити сертифікат")</f>
        <v>Завантажити сертифікат</v>
      </c>
    </row>
    <row r="2431" spans="1:6" x14ac:dyDescent="0.3">
      <c r="A2431" s="2">
        <v>2430</v>
      </c>
      <c r="B2431" s="1" t="s">
        <v>5159</v>
      </c>
      <c r="C2431" s="1" t="s">
        <v>4995</v>
      </c>
      <c r="D2431" s="1" t="s">
        <v>4996</v>
      </c>
      <c r="E2431" s="1" t="s">
        <v>5160</v>
      </c>
      <c r="F2431" s="1" t="str">
        <f>HYPERLINK("https://talan.bank.gov.ua/get-user-certificate/J5325R6LEwBaBZNdTmDZ","Завантажити сертифікат")</f>
        <v>Завантажити сертифікат</v>
      </c>
    </row>
    <row r="2432" spans="1:6" x14ac:dyDescent="0.3">
      <c r="A2432" s="2">
        <v>2431</v>
      </c>
      <c r="B2432" s="1" t="s">
        <v>5161</v>
      </c>
      <c r="C2432" s="1" t="s">
        <v>4995</v>
      </c>
      <c r="D2432" s="1" t="s">
        <v>4996</v>
      </c>
      <c r="E2432" s="1" t="s">
        <v>5162</v>
      </c>
      <c r="F2432" s="1" t="str">
        <f>HYPERLINK("https://talan.bank.gov.ua/get-user-certificate/J5325Er_q_jpWK4OAVcB","Завантажити сертифікат")</f>
        <v>Завантажити сертифікат</v>
      </c>
    </row>
    <row r="2433" spans="1:6" x14ac:dyDescent="0.3">
      <c r="A2433" s="2">
        <v>2432</v>
      </c>
      <c r="B2433" s="1" t="s">
        <v>5163</v>
      </c>
      <c r="C2433" s="1" t="s">
        <v>4995</v>
      </c>
      <c r="D2433" s="1" t="s">
        <v>4996</v>
      </c>
      <c r="E2433" s="1" t="s">
        <v>5164</v>
      </c>
      <c r="F2433" s="1" t="str">
        <f>HYPERLINK("https://talan.bank.gov.ua/get-user-certificate/J5325nz1Ek4K-eBiBtkA","Завантажити сертифікат")</f>
        <v>Завантажити сертифікат</v>
      </c>
    </row>
    <row r="2434" spans="1:6" x14ac:dyDescent="0.3">
      <c r="A2434" s="2">
        <v>2433</v>
      </c>
      <c r="B2434" s="1" t="s">
        <v>5165</v>
      </c>
      <c r="C2434" s="1" t="s">
        <v>5166</v>
      </c>
      <c r="D2434" s="1" t="s">
        <v>5167</v>
      </c>
      <c r="E2434" s="1" t="s">
        <v>5168</v>
      </c>
      <c r="F2434" s="1" t="str">
        <f>HYPERLINK("https://talan.bank.gov.ua/get-user-certificate/J5325MW6GCY55Gp7CImP","Завантажити сертифікат")</f>
        <v>Завантажити сертифікат</v>
      </c>
    </row>
    <row r="2435" spans="1:6" x14ac:dyDescent="0.3">
      <c r="A2435" s="2">
        <v>2434</v>
      </c>
      <c r="B2435" s="1" t="s">
        <v>5169</v>
      </c>
      <c r="C2435" s="1" t="s">
        <v>5166</v>
      </c>
      <c r="D2435" s="1" t="s">
        <v>5167</v>
      </c>
      <c r="E2435" s="1" t="s">
        <v>5170</v>
      </c>
      <c r="F2435" s="1" t="str">
        <f>HYPERLINK("https://talan.bank.gov.ua/get-user-certificate/J5325Zwp2mMXO90VOKe8","Завантажити сертифікат")</f>
        <v>Завантажити сертифікат</v>
      </c>
    </row>
    <row r="2436" spans="1:6" x14ac:dyDescent="0.3">
      <c r="A2436" s="2">
        <v>2435</v>
      </c>
      <c r="B2436" s="1" t="s">
        <v>5171</v>
      </c>
      <c r="C2436" s="1" t="s">
        <v>5166</v>
      </c>
      <c r="D2436" s="1" t="s">
        <v>5167</v>
      </c>
      <c r="E2436" s="1" t="s">
        <v>5172</v>
      </c>
      <c r="F2436" s="1" t="str">
        <f>HYPERLINK("https://talan.bank.gov.ua/get-user-certificate/J5325qkFA7bom0RQqo_-","Завантажити сертифікат")</f>
        <v>Завантажити сертифікат</v>
      </c>
    </row>
    <row r="2437" spans="1:6" x14ac:dyDescent="0.3">
      <c r="A2437" s="2">
        <v>2436</v>
      </c>
      <c r="B2437" s="1" t="s">
        <v>5173</v>
      </c>
      <c r="C2437" s="1" t="s">
        <v>5166</v>
      </c>
      <c r="D2437" s="1" t="s">
        <v>5167</v>
      </c>
      <c r="E2437" s="1" t="s">
        <v>5174</v>
      </c>
      <c r="F2437" s="1" t="str">
        <f>HYPERLINK("https://talan.bank.gov.ua/get-user-certificate/J5325O4UgQrXRi-NwGeN","Завантажити сертифікат")</f>
        <v>Завантажити сертифікат</v>
      </c>
    </row>
    <row r="2438" spans="1:6" x14ac:dyDescent="0.3">
      <c r="A2438" s="2">
        <v>2437</v>
      </c>
      <c r="B2438" s="1" t="s">
        <v>5175</v>
      </c>
      <c r="C2438" s="1" t="s">
        <v>5166</v>
      </c>
      <c r="D2438" s="1" t="s">
        <v>5167</v>
      </c>
      <c r="E2438" s="1" t="s">
        <v>5176</v>
      </c>
      <c r="F2438" s="1" t="str">
        <f>HYPERLINK("https://talan.bank.gov.ua/get-user-certificate/J5325kma7ThZNZ-mn7oI","Завантажити сертифікат")</f>
        <v>Завантажити сертифікат</v>
      </c>
    </row>
    <row r="2439" spans="1:6" x14ac:dyDescent="0.3">
      <c r="A2439" s="2">
        <v>2438</v>
      </c>
      <c r="B2439" s="1" t="s">
        <v>5177</v>
      </c>
      <c r="C2439" s="1" t="s">
        <v>5166</v>
      </c>
      <c r="D2439" s="1" t="s">
        <v>5167</v>
      </c>
      <c r="E2439" s="1" t="s">
        <v>5178</v>
      </c>
      <c r="F2439" s="1" t="str">
        <f>HYPERLINK("https://talan.bank.gov.ua/get-user-certificate/J5325LWWprhf0kh_aFmM","Завантажити сертифікат")</f>
        <v>Завантажити сертифікат</v>
      </c>
    </row>
    <row r="2440" spans="1:6" x14ac:dyDescent="0.3">
      <c r="A2440" s="2">
        <v>2439</v>
      </c>
      <c r="B2440" s="1" t="s">
        <v>5179</v>
      </c>
      <c r="C2440" s="1" t="s">
        <v>5166</v>
      </c>
      <c r="D2440" s="1" t="s">
        <v>5167</v>
      </c>
      <c r="E2440" s="1" t="s">
        <v>5180</v>
      </c>
      <c r="F2440" s="1" t="str">
        <f>HYPERLINK("https://talan.bank.gov.ua/get-user-certificate/J5325L_iyTPeY4oioDdQ","Завантажити сертифікат")</f>
        <v>Завантажити сертифікат</v>
      </c>
    </row>
    <row r="2441" spans="1:6" x14ac:dyDescent="0.3">
      <c r="A2441" s="2">
        <v>2440</v>
      </c>
      <c r="B2441" s="1" t="s">
        <v>5181</v>
      </c>
      <c r="C2441" s="1" t="s">
        <v>5166</v>
      </c>
      <c r="D2441" s="1" t="s">
        <v>5167</v>
      </c>
      <c r="E2441" s="1" t="s">
        <v>5182</v>
      </c>
      <c r="F2441" s="1" t="str">
        <f>HYPERLINK("https://talan.bank.gov.ua/get-user-certificate/J5325npryIMYQOE-yGCH","Завантажити сертифікат")</f>
        <v>Завантажити сертифікат</v>
      </c>
    </row>
    <row r="2442" spans="1:6" x14ac:dyDescent="0.3">
      <c r="A2442" s="2">
        <v>2441</v>
      </c>
      <c r="B2442" s="1" t="s">
        <v>5183</v>
      </c>
      <c r="C2442" s="1" t="s">
        <v>5166</v>
      </c>
      <c r="D2442" s="1" t="s">
        <v>5167</v>
      </c>
      <c r="E2442" s="1" t="s">
        <v>5184</v>
      </c>
      <c r="F2442" s="1" t="str">
        <f>HYPERLINK("https://talan.bank.gov.ua/get-user-certificate/J5325hBLNYLVQHFwqBDQ","Завантажити сертифікат")</f>
        <v>Завантажити сертифікат</v>
      </c>
    </row>
    <row r="2443" spans="1:6" x14ac:dyDescent="0.3">
      <c r="A2443" s="2">
        <v>2442</v>
      </c>
      <c r="B2443" s="1" t="s">
        <v>5185</v>
      </c>
      <c r="C2443" s="1" t="s">
        <v>5166</v>
      </c>
      <c r="D2443" s="1" t="s">
        <v>5167</v>
      </c>
      <c r="E2443" s="1" t="s">
        <v>5186</v>
      </c>
      <c r="F2443" s="1" t="str">
        <f>HYPERLINK("https://talan.bank.gov.ua/get-user-certificate/J5325NdpwJk2sEcpi979","Завантажити сертифікат")</f>
        <v>Завантажити сертифікат</v>
      </c>
    </row>
    <row r="2444" spans="1:6" x14ac:dyDescent="0.3">
      <c r="A2444" s="2">
        <v>2443</v>
      </c>
      <c r="B2444" s="1" t="s">
        <v>5187</v>
      </c>
      <c r="C2444" s="1" t="s">
        <v>5166</v>
      </c>
      <c r="D2444" s="1" t="s">
        <v>5167</v>
      </c>
      <c r="E2444" s="1" t="s">
        <v>5188</v>
      </c>
      <c r="F2444" s="1" t="str">
        <f>HYPERLINK("https://talan.bank.gov.ua/get-user-certificate/J53255XrGKAo_o_IkJ1I","Завантажити сертифікат")</f>
        <v>Завантажити сертифікат</v>
      </c>
    </row>
    <row r="2445" spans="1:6" x14ac:dyDescent="0.3">
      <c r="A2445" s="2">
        <v>2444</v>
      </c>
      <c r="B2445" s="1" t="s">
        <v>5189</v>
      </c>
      <c r="C2445" s="1" t="s">
        <v>5166</v>
      </c>
      <c r="D2445" s="1" t="s">
        <v>5167</v>
      </c>
      <c r="E2445" s="1" t="s">
        <v>5190</v>
      </c>
      <c r="F2445" s="1" t="str">
        <f>HYPERLINK("https://talan.bank.gov.ua/get-user-certificate/J5325U_2nzMQ8nUOeEx7","Завантажити сертифікат")</f>
        <v>Завантажити сертифікат</v>
      </c>
    </row>
    <row r="2446" spans="1:6" x14ac:dyDescent="0.3">
      <c r="A2446" s="2">
        <v>2445</v>
      </c>
      <c r="B2446" s="1" t="s">
        <v>5191</v>
      </c>
      <c r="C2446" s="1" t="s">
        <v>5166</v>
      </c>
      <c r="D2446" s="1" t="s">
        <v>5167</v>
      </c>
      <c r="E2446" s="1" t="s">
        <v>5192</v>
      </c>
      <c r="F2446" s="1" t="str">
        <f>HYPERLINK("https://talan.bank.gov.ua/get-user-certificate/J53253X5O975JZO380kI","Завантажити сертифікат")</f>
        <v>Завантажити сертифікат</v>
      </c>
    </row>
    <row r="2447" spans="1:6" x14ac:dyDescent="0.3">
      <c r="A2447" s="2">
        <v>2446</v>
      </c>
      <c r="B2447" s="1" t="s">
        <v>5193</v>
      </c>
      <c r="C2447" s="1" t="s">
        <v>5166</v>
      </c>
      <c r="D2447" s="1" t="s">
        <v>5167</v>
      </c>
      <c r="E2447" s="1" t="s">
        <v>5194</v>
      </c>
      <c r="F2447" s="1" t="str">
        <f>HYPERLINK("https://talan.bank.gov.ua/get-user-certificate/J5325ubCxqxDX_IFeGW5","Завантажити сертифікат")</f>
        <v>Завантажити сертифікат</v>
      </c>
    </row>
    <row r="2448" spans="1:6" x14ac:dyDescent="0.3">
      <c r="A2448" s="2">
        <v>2447</v>
      </c>
      <c r="B2448" s="1" t="s">
        <v>5195</v>
      </c>
      <c r="C2448" s="1" t="s">
        <v>5166</v>
      </c>
      <c r="D2448" s="1" t="s">
        <v>5167</v>
      </c>
      <c r="E2448" s="1" t="s">
        <v>5196</v>
      </c>
      <c r="F2448" s="1" t="str">
        <f>HYPERLINK("https://talan.bank.gov.ua/get-user-certificate/J5325DQwGYpY04NxEvvV","Завантажити сертифікат")</f>
        <v>Завантажити сертифікат</v>
      </c>
    </row>
    <row r="2449" spans="1:6" x14ac:dyDescent="0.3">
      <c r="A2449" s="2">
        <v>2448</v>
      </c>
      <c r="B2449" s="1" t="s">
        <v>5197</v>
      </c>
      <c r="C2449" s="1" t="s">
        <v>5166</v>
      </c>
      <c r="D2449" s="1" t="s">
        <v>5167</v>
      </c>
      <c r="E2449" s="1" t="s">
        <v>5198</v>
      </c>
      <c r="F2449" s="1" t="str">
        <f>HYPERLINK("https://talan.bank.gov.ua/get-user-certificate/J5325rRPHo5a8fyqNSbJ","Завантажити сертифікат")</f>
        <v>Завантажити сертифікат</v>
      </c>
    </row>
    <row r="2450" spans="1:6" x14ac:dyDescent="0.3">
      <c r="A2450" s="2">
        <v>2449</v>
      </c>
      <c r="B2450" s="1" t="s">
        <v>5199</v>
      </c>
      <c r="C2450" s="1" t="s">
        <v>5166</v>
      </c>
      <c r="D2450" s="1" t="s">
        <v>5167</v>
      </c>
      <c r="E2450" s="1" t="s">
        <v>5200</v>
      </c>
      <c r="F2450" s="1" t="str">
        <f>HYPERLINK("https://talan.bank.gov.ua/get-user-certificate/J5325R305ZDETQ8jfwRq","Завантажити сертифікат")</f>
        <v>Завантажити сертифікат</v>
      </c>
    </row>
    <row r="2451" spans="1:6" x14ac:dyDescent="0.3">
      <c r="A2451" s="2">
        <v>2450</v>
      </c>
      <c r="B2451" s="1" t="s">
        <v>5201</v>
      </c>
      <c r="C2451" s="1" t="s">
        <v>5166</v>
      </c>
      <c r="D2451" s="1" t="s">
        <v>5167</v>
      </c>
      <c r="E2451" s="1" t="s">
        <v>5202</v>
      </c>
      <c r="F2451" s="1" t="str">
        <f>HYPERLINK("https://talan.bank.gov.ua/get-user-certificate/J5325DiR9M8okpjnlpTc","Завантажити сертифікат")</f>
        <v>Завантажити сертифікат</v>
      </c>
    </row>
    <row r="2452" spans="1:6" x14ac:dyDescent="0.3">
      <c r="A2452" s="2">
        <v>2451</v>
      </c>
      <c r="B2452" s="1" t="s">
        <v>5203</v>
      </c>
      <c r="C2452" s="1" t="s">
        <v>5166</v>
      </c>
      <c r="D2452" s="1" t="s">
        <v>5167</v>
      </c>
      <c r="E2452" s="1" t="s">
        <v>5204</v>
      </c>
      <c r="F2452" s="1" t="str">
        <f>HYPERLINK("https://talan.bank.gov.ua/get-user-certificate/J5325j0DWCMR5cs8ogvA","Завантажити сертифікат")</f>
        <v>Завантажити сертифікат</v>
      </c>
    </row>
    <row r="2453" spans="1:6" x14ac:dyDescent="0.3">
      <c r="A2453" s="2">
        <v>2452</v>
      </c>
      <c r="B2453" s="1" t="s">
        <v>5205</v>
      </c>
      <c r="C2453" s="1" t="s">
        <v>5166</v>
      </c>
      <c r="D2453" s="1" t="s">
        <v>5167</v>
      </c>
      <c r="E2453" s="1" t="s">
        <v>5206</v>
      </c>
      <c r="F2453" s="1" t="str">
        <f>HYPERLINK("https://talan.bank.gov.ua/get-user-certificate/J5325D9nqvfGyrVVpYmO","Завантажити сертифікат")</f>
        <v>Завантажити сертифікат</v>
      </c>
    </row>
    <row r="2454" spans="1:6" x14ac:dyDescent="0.3">
      <c r="A2454" s="2">
        <v>2453</v>
      </c>
      <c r="B2454" s="1" t="s">
        <v>5207</v>
      </c>
      <c r="C2454" s="1" t="s">
        <v>5166</v>
      </c>
      <c r="D2454" s="1" t="s">
        <v>5167</v>
      </c>
      <c r="E2454" s="1" t="s">
        <v>5208</v>
      </c>
      <c r="F2454" s="1" t="str">
        <f>HYPERLINK("https://talan.bank.gov.ua/get-user-certificate/J5325v6ysQY2B97gbotp","Завантажити сертифікат")</f>
        <v>Завантажити сертифікат</v>
      </c>
    </row>
    <row r="2455" spans="1:6" x14ac:dyDescent="0.3">
      <c r="A2455" s="2">
        <v>2454</v>
      </c>
      <c r="B2455" s="1" t="s">
        <v>5209</v>
      </c>
      <c r="C2455" s="1" t="s">
        <v>5166</v>
      </c>
      <c r="D2455" s="1" t="s">
        <v>5167</v>
      </c>
      <c r="E2455" s="1" t="s">
        <v>5210</v>
      </c>
      <c r="F2455" s="1" t="str">
        <f>HYPERLINK("https://talan.bank.gov.ua/get-user-certificate/J53257pVWIXN3KQEJyNp","Завантажити сертифікат")</f>
        <v>Завантажити сертифікат</v>
      </c>
    </row>
    <row r="2456" spans="1:6" x14ac:dyDescent="0.3">
      <c r="A2456" s="2">
        <v>2455</v>
      </c>
      <c r="B2456" s="1" t="s">
        <v>5211</v>
      </c>
      <c r="C2456" s="1" t="s">
        <v>5166</v>
      </c>
      <c r="D2456" s="1" t="s">
        <v>5167</v>
      </c>
      <c r="E2456" s="1" t="s">
        <v>5212</v>
      </c>
      <c r="F2456" s="1" t="str">
        <f>HYPERLINK("https://talan.bank.gov.ua/get-user-certificate/J5325nxuR73rhjnrCrBb","Завантажити сертифікат")</f>
        <v>Завантажити сертифікат</v>
      </c>
    </row>
    <row r="2457" spans="1:6" x14ac:dyDescent="0.3">
      <c r="A2457" s="2">
        <v>2456</v>
      </c>
      <c r="B2457" s="1" t="s">
        <v>5213</v>
      </c>
      <c r="C2457" s="1" t="s">
        <v>5166</v>
      </c>
      <c r="D2457" s="1" t="s">
        <v>5167</v>
      </c>
      <c r="E2457" s="1" t="s">
        <v>5214</v>
      </c>
      <c r="F2457" s="1" t="str">
        <f>HYPERLINK("https://talan.bank.gov.ua/get-user-certificate/J5325R4KnMzivjI6YEb0","Завантажити сертифікат")</f>
        <v>Завантажити сертифікат</v>
      </c>
    </row>
    <row r="2458" spans="1:6" x14ac:dyDescent="0.3">
      <c r="A2458" s="2">
        <v>2457</v>
      </c>
      <c r="B2458" s="1" t="s">
        <v>5215</v>
      </c>
      <c r="C2458" s="1" t="s">
        <v>5166</v>
      </c>
      <c r="D2458" s="1" t="s">
        <v>5167</v>
      </c>
      <c r="E2458" s="1" t="s">
        <v>5216</v>
      </c>
      <c r="F2458" s="1" t="str">
        <f>HYPERLINK("https://talan.bank.gov.ua/get-user-certificate/J5325UWU1ksXuAcgMb4d","Завантажити сертифікат")</f>
        <v>Завантажити сертифікат</v>
      </c>
    </row>
    <row r="2459" spans="1:6" x14ac:dyDescent="0.3">
      <c r="A2459" s="2">
        <v>2458</v>
      </c>
      <c r="B2459" s="1" t="s">
        <v>5217</v>
      </c>
      <c r="C2459" s="1" t="s">
        <v>5166</v>
      </c>
      <c r="D2459" s="1" t="s">
        <v>5167</v>
      </c>
      <c r="E2459" s="1" t="s">
        <v>5218</v>
      </c>
      <c r="F2459" s="1" t="str">
        <f>HYPERLINK("https://talan.bank.gov.ua/get-user-certificate/J5325ypAk8_jTNDMXfpl","Завантажити сертифікат")</f>
        <v>Завантажити сертифікат</v>
      </c>
    </row>
    <row r="2460" spans="1:6" x14ac:dyDescent="0.3">
      <c r="A2460" s="2">
        <v>2459</v>
      </c>
      <c r="B2460" s="1" t="s">
        <v>5219</v>
      </c>
      <c r="C2460" s="1" t="s">
        <v>5166</v>
      </c>
      <c r="D2460" s="1" t="s">
        <v>5167</v>
      </c>
      <c r="E2460" s="1" t="s">
        <v>5220</v>
      </c>
      <c r="F2460" s="1" t="str">
        <f>HYPERLINK("https://talan.bank.gov.ua/get-user-certificate/J5325gEh5ynDmEE_nLsG","Завантажити сертифікат")</f>
        <v>Завантажити сертифікат</v>
      </c>
    </row>
    <row r="2461" spans="1:6" x14ac:dyDescent="0.3">
      <c r="A2461" s="2">
        <v>2460</v>
      </c>
      <c r="B2461" s="1" t="s">
        <v>5221</v>
      </c>
      <c r="C2461" s="1" t="s">
        <v>5166</v>
      </c>
      <c r="D2461" s="1" t="s">
        <v>5167</v>
      </c>
      <c r="E2461" s="1" t="s">
        <v>5222</v>
      </c>
      <c r="F2461" s="1" t="str">
        <f>HYPERLINK("https://talan.bank.gov.ua/get-user-certificate/J5325KnAXgtSJj_coWCk","Завантажити сертифікат")</f>
        <v>Завантажити сертифікат</v>
      </c>
    </row>
    <row r="2462" spans="1:6" x14ac:dyDescent="0.3">
      <c r="A2462" s="2">
        <v>2461</v>
      </c>
      <c r="B2462" s="1" t="s">
        <v>5223</v>
      </c>
      <c r="C2462" s="1" t="s">
        <v>5166</v>
      </c>
      <c r="D2462" s="1" t="s">
        <v>5167</v>
      </c>
      <c r="E2462" s="1" t="s">
        <v>5224</v>
      </c>
      <c r="F2462" s="1" t="str">
        <f>HYPERLINK("https://talan.bank.gov.ua/get-user-certificate/J53257ng-wBW8CYdXmab","Завантажити сертифікат")</f>
        <v>Завантажити сертифікат</v>
      </c>
    </row>
    <row r="2463" spans="1:6" x14ac:dyDescent="0.3">
      <c r="A2463" s="2">
        <v>2462</v>
      </c>
      <c r="B2463" s="1" t="s">
        <v>5225</v>
      </c>
      <c r="C2463" s="1" t="s">
        <v>5166</v>
      </c>
      <c r="D2463" s="1" t="s">
        <v>5167</v>
      </c>
      <c r="E2463" s="1" t="s">
        <v>5226</v>
      </c>
      <c r="F2463" s="1" t="str">
        <f>HYPERLINK("https://talan.bank.gov.ua/get-user-certificate/J5325UvcJUUdVKlKE4HI","Завантажити сертифікат")</f>
        <v>Завантажити сертифікат</v>
      </c>
    </row>
    <row r="2464" spans="1:6" ht="28.8" x14ac:dyDescent="0.3">
      <c r="A2464" s="2">
        <v>2463</v>
      </c>
      <c r="B2464" s="1" t="s">
        <v>5227</v>
      </c>
      <c r="C2464" s="1" t="s">
        <v>5228</v>
      </c>
      <c r="D2464" s="1" t="s">
        <v>5229</v>
      </c>
      <c r="E2464" s="1" t="s">
        <v>5230</v>
      </c>
      <c r="F2464" s="1" t="str">
        <f>HYPERLINK("https://talan.bank.gov.ua/get-user-certificate/J5325GSiCY_U3UZBnX2T","Завантажити сертифікат")</f>
        <v>Завантажити сертифікат</v>
      </c>
    </row>
    <row r="2465" spans="1:6" ht="28.8" x14ac:dyDescent="0.3">
      <c r="A2465" s="2">
        <v>2464</v>
      </c>
      <c r="B2465" s="1" t="s">
        <v>5231</v>
      </c>
      <c r="C2465" s="1" t="s">
        <v>5228</v>
      </c>
      <c r="D2465" s="1" t="s">
        <v>5229</v>
      </c>
      <c r="E2465" s="1" t="s">
        <v>5232</v>
      </c>
      <c r="F2465" s="1" t="str">
        <f>HYPERLINK("https://talan.bank.gov.ua/get-user-certificate/J5325dXZ3K0jMw7qjCAA","Завантажити сертифікат")</f>
        <v>Завантажити сертифікат</v>
      </c>
    </row>
    <row r="2466" spans="1:6" ht="28.8" x14ac:dyDescent="0.3">
      <c r="A2466" s="2">
        <v>2465</v>
      </c>
      <c r="B2466" s="1" t="s">
        <v>5233</v>
      </c>
      <c r="C2466" s="1" t="s">
        <v>5228</v>
      </c>
      <c r="D2466" s="1" t="s">
        <v>5229</v>
      </c>
      <c r="E2466" s="1" t="s">
        <v>5234</v>
      </c>
      <c r="F2466" s="1" t="str">
        <f>HYPERLINK("https://talan.bank.gov.ua/get-user-certificate/J5325_Gll5huBpwoFJTX","Завантажити сертифікат")</f>
        <v>Завантажити сертифікат</v>
      </c>
    </row>
    <row r="2467" spans="1:6" ht="28.8" x14ac:dyDescent="0.3">
      <c r="A2467" s="2">
        <v>2466</v>
      </c>
      <c r="B2467" s="1" t="s">
        <v>5235</v>
      </c>
      <c r="C2467" s="1" t="s">
        <v>5228</v>
      </c>
      <c r="D2467" s="1" t="s">
        <v>5229</v>
      </c>
      <c r="E2467" s="1" t="s">
        <v>5236</v>
      </c>
      <c r="F2467" s="1" t="str">
        <f>HYPERLINK("https://talan.bank.gov.ua/get-user-certificate/J53256KTkH50TH9pS-Xf","Завантажити сертифікат")</f>
        <v>Завантажити сертифікат</v>
      </c>
    </row>
    <row r="2468" spans="1:6" ht="28.8" x14ac:dyDescent="0.3">
      <c r="A2468" s="2">
        <v>2467</v>
      </c>
      <c r="B2468" s="1" t="s">
        <v>5237</v>
      </c>
      <c r="C2468" s="1" t="s">
        <v>5228</v>
      </c>
      <c r="D2468" s="1" t="s">
        <v>5229</v>
      </c>
      <c r="E2468" s="1" t="s">
        <v>5238</v>
      </c>
      <c r="F2468" s="1" t="str">
        <f>HYPERLINK("https://talan.bank.gov.ua/get-user-certificate/J5325h-Ch1o4PRuS2fvb","Завантажити сертифікат")</f>
        <v>Завантажити сертифікат</v>
      </c>
    </row>
    <row r="2469" spans="1:6" ht="28.8" x14ac:dyDescent="0.3">
      <c r="A2469" s="2">
        <v>2468</v>
      </c>
      <c r="B2469" s="1" t="s">
        <v>5239</v>
      </c>
      <c r="C2469" s="1" t="s">
        <v>5228</v>
      </c>
      <c r="D2469" s="1" t="s">
        <v>5229</v>
      </c>
      <c r="E2469" s="1" t="s">
        <v>5240</v>
      </c>
      <c r="F2469" s="1" t="str">
        <f>HYPERLINK("https://talan.bank.gov.ua/get-user-certificate/J5325K_vwjvrPMFFvLQl","Завантажити сертифікат")</f>
        <v>Завантажити сертифікат</v>
      </c>
    </row>
    <row r="2470" spans="1:6" ht="28.8" x14ac:dyDescent="0.3">
      <c r="A2470" s="2">
        <v>2469</v>
      </c>
      <c r="B2470" s="1" t="s">
        <v>5241</v>
      </c>
      <c r="C2470" s="1" t="s">
        <v>5228</v>
      </c>
      <c r="D2470" s="1" t="s">
        <v>5229</v>
      </c>
      <c r="E2470" s="1" t="s">
        <v>5242</v>
      </c>
      <c r="F2470" s="1" t="str">
        <f>HYPERLINK("https://talan.bank.gov.ua/get-user-certificate/J5325iF5B-oSA_pZqwvQ","Завантажити сертифікат")</f>
        <v>Завантажити сертифікат</v>
      </c>
    </row>
    <row r="2471" spans="1:6" ht="28.8" x14ac:dyDescent="0.3">
      <c r="A2471" s="2">
        <v>2470</v>
      </c>
      <c r="B2471" s="1" t="s">
        <v>5243</v>
      </c>
      <c r="C2471" s="1" t="s">
        <v>5244</v>
      </c>
      <c r="D2471" s="1" t="s">
        <v>5245</v>
      </c>
      <c r="E2471" s="1" t="s">
        <v>5246</v>
      </c>
      <c r="F2471" s="1" t="str">
        <f>HYPERLINK("https://talan.bank.gov.ua/get-user-certificate/J5325cjYsdB8FsSCqzmJ","Завантажити сертифікат")</f>
        <v>Завантажити сертифікат</v>
      </c>
    </row>
    <row r="2472" spans="1:6" ht="28.8" x14ac:dyDescent="0.3">
      <c r="A2472" s="2">
        <v>2471</v>
      </c>
      <c r="B2472" s="1" t="s">
        <v>5247</v>
      </c>
      <c r="C2472" s="1" t="s">
        <v>5244</v>
      </c>
      <c r="D2472" s="1" t="s">
        <v>5245</v>
      </c>
      <c r="E2472" s="1" t="s">
        <v>5248</v>
      </c>
      <c r="F2472" s="1" t="str">
        <f>HYPERLINK("https://talan.bank.gov.ua/get-user-certificate/J5325Rp-GOIYmKkEKxW1","Завантажити сертифікат")</f>
        <v>Завантажити сертифікат</v>
      </c>
    </row>
    <row r="2473" spans="1:6" ht="28.8" x14ac:dyDescent="0.3">
      <c r="A2473" s="2">
        <v>2472</v>
      </c>
      <c r="B2473" s="1" t="s">
        <v>5249</v>
      </c>
      <c r="C2473" s="1" t="s">
        <v>5244</v>
      </c>
      <c r="D2473" s="1" t="s">
        <v>5245</v>
      </c>
      <c r="E2473" s="1" t="s">
        <v>5250</v>
      </c>
      <c r="F2473" s="1" t="str">
        <f>HYPERLINK("https://talan.bank.gov.ua/get-user-certificate/J53258rsVBBp_MwyU1NC","Завантажити сертифікат")</f>
        <v>Завантажити сертифікат</v>
      </c>
    </row>
    <row r="2474" spans="1:6" ht="28.8" x14ac:dyDescent="0.3">
      <c r="A2474" s="2">
        <v>2473</v>
      </c>
      <c r="B2474" s="1" t="s">
        <v>5251</v>
      </c>
      <c r="C2474" s="1" t="s">
        <v>5244</v>
      </c>
      <c r="D2474" s="1" t="s">
        <v>5245</v>
      </c>
      <c r="E2474" s="1" t="s">
        <v>5252</v>
      </c>
      <c r="F2474" s="1" t="str">
        <f>HYPERLINK("https://talan.bank.gov.ua/get-user-certificate/J53254Zv-XZ9QEREd7Fc","Завантажити сертифікат")</f>
        <v>Завантажити сертифікат</v>
      </c>
    </row>
    <row r="2475" spans="1:6" ht="28.8" x14ac:dyDescent="0.3">
      <c r="A2475" s="2">
        <v>2474</v>
      </c>
      <c r="B2475" s="1" t="s">
        <v>5253</v>
      </c>
      <c r="C2475" s="1" t="s">
        <v>5244</v>
      </c>
      <c r="D2475" s="1" t="s">
        <v>5245</v>
      </c>
      <c r="E2475" s="1" t="s">
        <v>5254</v>
      </c>
      <c r="F2475" s="1" t="str">
        <f>HYPERLINK("https://talan.bank.gov.ua/get-user-certificate/J5325e16K0qNORZoOE2q","Завантажити сертифікат")</f>
        <v>Завантажити сертифікат</v>
      </c>
    </row>
    <row r="2476" spans="1:6" ht="28.8" x14ac:dyDescent="0.3">
      <c r="A2476" s="2">
        <v>2475</v>
      </c>
      <c r="B2476" s="1" t="s">
        <v>5255</v>
      </c>
      <c r="C2476" s="1" t="s">
        <v>5244</v>
      </c>
      <c r="D2476" s="1" t="s">
        <v>5245</v>
      </c>
      <c r="E2476" s="1" t="s">
        <v>5256</v>
      </c>
      <c r="F2476" s="1" t="str">
        <f>HYPERLINK("https://talan.bank.gov.ua/get-user-certificate/J5325YISteksv8aPZl_4","Завантажити сертифікат")</f>
        <v>Завантажити сертифікат</v>
      </c>
    </row>
    <row r="2477" spans="1:6" ht="28.8" x14ac:dyDescent="0.3">
      <c r="A2477" s="2">
        <v>2476</v>
      </c>
      <c r="B2477" s="1" t="s">
        <v>5257</v>
      </c>
      <c r="C2477" s="1" t="s">
        <v>5244</v>
      </c>
      <c r="D2477" s="1" t="s">
        <v>5245</v>
      </c>
      <c r="E2477" s="1" t="s">
        <v>5258</v>
      </c>
      <c r="F2477" s="1" t="str">
        <f>HYPERLINK("https://talan.bank.gov.ua/get-user-certificate/J5325o6KT10ULq9FdnW_","Завантажити сертифікат")</f>
        <v>Завантажити сертифікат</v>
      </c>
    </row>
    <row r="2478" spans="1:6" ht="28.8" x14ac:dyDescent="0.3">
      <c r="A2478" s="2">
        <v>2477</v>
      </c>
      <c r="B2478" s="1" t="s">
        <v>5259</v>
      </c>
      <c r="C2478" s="1" t="s">
        <v>5244</v>
      </c>
      <c r="D2478" s="1" t="s">
        <v>5245</v>
      </c>
      <c r="E2478" s="1" t="s">
        <v>5260</v>
      </c>
      <c r="F2478" s="1" t="str">
        <f>HYPERLINK("https://talan.bank.gov.ua/get-user-certificate/J5325UxfbT0zwOKOLn8S","Завантажити сертифікат")</f>
        <v>Завантажити сертифікат</v>
      </c>
    </row>
    <row r="2479" spans="1:6" ht="28.8" x14ac:dyDescent="0.3">
      <c r="A2479" s="2">
        <v>2478</v>
      </c>
      <c r="B2479" s="1" t="s">
        <v>5261</v>
      </c>
      <c r="C2479" s="1" t="s">
        <v>5244</v>
      </c>
      <c r="D2479" s="1" t="s">
        <v>5245</v>
      </c>
      <c r="E2479" s="1" t="s">
        <v>5262</v>
      </c>
      <c r="F2479" s="1" t="str">
        <f>HYPERLINK("https://talan.bank.gov.ua/get-user-certificate/J5325TRTA9lXA2oCWFAG","Завантажити сертифікат")</f>
        <v>Завантажити сертифікат</v>
      </c>
    </row>
    <row r="2480" spans="1:6" ht="28.8" x14ac:dyDescent="0.3">
      <c r="A2480" s="2">
        <v>2479</v>
      </c>
      <c r="B2480" s="1" t="s">
        <v>5263</v>
      </c>
      <c r="C2480" s="1" t="s">
        <v>5244</v>
      </c>
      <c r="D2480" s="1" t="s">
        <v>5245</v>
      </c>
      <c r="E2480" s="1" t="s">
        <v>5264</v>
      </c>
      <c r="F2480" s="1" t="str">
        <f>HYPERLINK("https://talan.bank.gov.ua/get-user-certificate/J5325i2_wIj5fuM0KN6p","Завантажити сертифікат")</f>
        <v>Завантажити сертифікат</v>
      </c>
    </row>
    <row r="2481" spans="1:6" ht="28.8" x14ac:dyDescent="0.3">
      <c r="A2481" s="2">
        <v>2480</v>
      </c>
      <c r="B2481" s="1" t="s">
        <v>5265</v>
      </c>
      <c r="C2481" s="1" t="s">
        <v>5244</v>
      </c>
      <c r="D2481" s="1" t="s">
        <v>5245</v>
      </c>
      <c r="E2481" s="1" t="s">
        <v>5266</v>
      </c>
      <c r="F2481" s="1" t="str">
        <f>HYPERLINK("https://talan.bank.gov.ua/get-user-certificate/J5325VArrEan8PizCjyP","Завантажити сертифікат")</f>
        <v>Завантажити сертифікат</v>
      </c>
    </row>
    <row r="2482" spans="1:6" ht="28.8" x14ac:dyDescent="0.3">
      <c r="A2482" s="2">
        <v>2481</v>
      </c>
      <c r="B2482" s="1" t="s">
        <v>5267</v>
      </c>
      <c r="C2482" s="1" t="s">
        <v>5244</v>
      </c>
      <c r="D2482" s="1" t="s">
        <v>5245</v>
      </c>
      <c r="E2482" s="1" t="s">
        <v>5268</v>
      </c>
      <c r="F2482" s="1" t="str">
        <f>HYPERLINK("https://talan.bank.gov.ua/get-user-certificate/J5325fpeC03KAlp9Rmnw","Завантажити сертифікат")</f>
        <v>Завантажити сертифікат</v>
      </c>
    </row>
    <row r="2483" spans="1:6" ht="28.8" x14ac:dyDescent="0.3">
      <c r="A2483" s="2">
        <v>2482</v>
      </c>
      <c r="B2483" s="1" t="s">
        <v>5269</v>
      </c>
      <c r="C2483" s="1" t="s">
        <v>5244</v>
      </c>
      <c r="D2483" s="1" t="s">
        <v>5245</v>
      </c>
      <c r="E2483" s="1" t="s">
        <v>5270</v>
      </c>
      <c r="F2483" s="1" t="str">
        <f>HYPERLINK("https://talan.bank.gov.ua/get-user-certificate/J5325DcKrw4n80OE6WpD","Завантажити сертифікат")</f>
        <v>Завантажити сертифікат</v>
      </c>
    </row>
    <row r="2484" spans="1:6" ht="28.8" x14ac:dyDescent="0.3">
      <c r="A2484" s="2">
        <v>2483</v>
      </c>
      <c r="B2484" s="1" t="s">
        <v>5271</v>
      </c>
      <c r="C2484" s="1" t="s">
        <v>5244</v>
      </c>
      <c r="D2484" s="1" t="s">
        <v>5245</v>
      </c>
      <c r="E2484" s="1" t="s">
        <v>5272</v>
      </c>
      <c r="F2484" s="1" t="str">
        <f>HYPERLINK("https://talan.bank.gov.ua/get-user-certificate/J5325qQNyTCqlVojqhwA","Завантажити сертифікат")</f>
        <v>Завантажити сертифікат</v>
      </c>
    </row>
    <row r="2485" spans="1:6" ht="28.8" x14ac:dyDescent="0.3">
      <c r="A2485" s="2">
        <v>2484</v>
      </c>
      <c r="B2485" s="1" t="s">
        <v>5273</v>
      </c>
      <c r="C2485" s="1" t="s">
        <v>5244</v>
      </c>
      <c r="D2485" s="1" t="s">
        <v>5245</v>
      </c>
      <c r="E2485" s="1" t="s">
        <v>5274</v>
      </c>
      <c r="F2485" s="1" t="str">
        <f>HYPERLINK("https://talan.bank.gov.ua/get-user-certificate/J5325C4vJLoe6vk6E8vh","Завантажити сертифікат")</f>
        <v>Завантажити сертифікат</v>
      </c>
    </row>
    <row r="2486" spans="1:6" ht="28.8" x14ac:dyDescent="0.3">
      <c r="A2486" s="2">
        <v>2485</v>
      </c>
      <c r="B2486" s="1" t="s">
        <v>5275</v>
      </c>
      <c r="C2486" s="1" t="s">
        <v>5244</v>
      </c>
      <c r="D2486" s="1" t="s">
        <v>5245</v>
      </c>
      <c r="E2486" s="1" t="s">
        <v>5276</v>
      </c>
      <c r="F2486" s="1" t="str">
        <f>HYPERLINK("https://talan.bank.gov.ua/get-user-certificate/J53252ZSEUsDr75PBL9I","Завантажити сертифікат")</f>
        <v>Завантажити сертифікат</v>
      </c>
    </row>
    <row r="2487" spans="1:6" ht="28.8" x14ac:dyDescent="0.3">
      <c r="A2487" s="2">
        <v>2486</v>
      </c>
      <c r="B2487" s="1" t="s">
        <v>5277</v>
      </c>
      <c r="C2487" s="1" t="s">
        <v>5244</v>
      </c>
      <c r="D2487" s="1" t="s">
        <v>5245</v>
      </c>
      <c r="E2487" s="1" t="s">
        <v>5278</v>
      </c>
      <c r="F2487" s="1" t="str">
        <f>HYPERLINK("https://talan.bank.gov.ua/get-user-certificate/J5325GuKzn4zmRxuQDNn","Завантажити сертифікат")</f>
        <v>Завантажити сертифікат</v>
      </c>
    </row>
    <row r="2488" spans="1:6" ht="28.8" x14ac:dyDescent="0.3">
      <c r="A2488" s="2">
        <v>2487</v>
      </c>
      <c r="B2488" s="1" t="s">
        <v>5279</v>
      </c>
      <c r="C2488" s="1" t="s">
        <v>5244</v>
      </c>
      <c r="D2488" s="1" t="s">
        <v>5245</v>
      </c>
      <c r="E2488" s="1" t="s">
        <v>5280</v>
      </c>
      <c r="F2488" s="1" t="str">
        <f>HYPERLINK("https://talan.bank.gov.ua/get-user-certificate/J5325Cn-H4qsAN3YlZYI","Завантажити сертифікат")</f>
        <v>Завантажити сертифікат</v>
      </c>
    </row>
    <row r="2489" spans="1:6" ht="28.8" x14ac:dyDescent="0.3">
      <c r="A2489" s="2">
        <v>2488</v>
      </c>
      <c r="B2489" s="1" t="s">
        <v>5281</v>
      </c>
      <c r="C2489" s="1" t="s">
        <v>5244</v>
      </c>
      <c r="D2489" s="1" t="s">
        <v>5245</v>
      </c>
      <c r="E2489" s="1" t="s">
        <v>5282</v>
      </c>
      <c r="F2489" s="1" t="str">
        <f>HYPERLINK("https://talan.bank.gov.ua/get-user-certificate/J5325JbAqLsDl2oXNYIr","Завантажити сертифікат")</f>
        <v>Завантажити сертифікат</v>
      </c>
    </row>
    <row r="2490" spans="1:6" ht="28.8" x14ac:dyDescent="0.3">
      <c r="A2490" s="2">
        <v>2489</v>
      </c>
      <c r="B2490" s="1" t="s">
        <v>5283</v>
      </c>
      <c r="C2490" s="1" t="s">
        <v>5244</v>
      </c>
      <c r="D2490" s="1" t="s">
        <v>5245</v>
      </c>
      <c r="E2490" s="1" t="s">
        <v>5284</v>
      </c>
      <c r="F2490" s="1" t="str">
        <f>HYPERLINK("https://talan.bank.gov.ua/get-user-certificate/J5325p_bReroR28BlVHx","Завантажити сертифікат")</f>
        <v>Завантажити сертифікат</v>
      </c>
    </row>
    <row r="2491" spans="1:6" ht="28.8" x14ac:dyDescent="0.3">
      <c r="A2491" s="2">
        <v>2490</v>
      </c>
      <c r="B2491" s="1" t="s">
        <v>5285</v>
      </c>
      <c r="C2491" s="1" t="s">
        <v>5244</v>
      </c>
      <c r="D2491" s="1" t="s">
        <v>5245</v>
      </c>
      <c r="E2491" s="1" t="s">
        <v>5286</v>
      </c>
      <c r="F2491" s="1" t="str">
        <f>HYPERLINK("https://talan.bank.gov.ua/get-user-certificate/J5325ucF0mpix9GTLrR_","Завантажити сертифікат")</f>
        <v>Завантажити сертифікат</v>
      </c>
    </row>
    <row r="2492" spans="1:6" ht="28.8" x14ac:dyDescent="0.3">
      <c r="A2492" s="2">
        <v>2491</v>
      </c>
      <c r="B2492" s="1" t="s">
        <v>5287</v>
      </c>
      <c r="C2492" s="1" t="s">
        <v>5244</v>
      </c>
      <c r="D2492" s="1" t="s">
        <v>5245</v>
      </c>
      <c r="E2492" s="1" t="s">
        <v>5288</v>
      </c>
      <c r="F2492" s="1" t="str">
        <f>HYPERLINK("https://talan.bank.gov.ua/get-user-certificate/J53250kcRkFeeBU2hkGN","Завантажити сертифікат")</f>
        <v>Завантажити сертифікат</v>
      </c>
    </row>
    <row r="2493" spans="1:6" x14ac:dyDescent="0.3">
      <c r="A2493" s="2">
        <v>2492</v>
      </c>
      <c r="B2493" s="1" t="s">
        <v>5289</v>
      </c>
      <c r="C2493" s="1" t="s">
        <v>5290</v>
      </c>
      <c r="D2493" s="1" t="s">
        <v>5291</v>
      </c>
      <c r="E2493" s="1" t="s">
        <v>5292</v>
      </c>
      <c r="F2493" s="1" t="str">
        <f>HYPERLINK("https://talan.bank.gov.ua/get-user-certificate/J53258KNNQieevtPYvh1","Завантажити сертифікат")</f>
        <v>Завантажити сертифікат</v>
      </c>
    </row>
    <row r="2494" spans="1:6" x14ac:dyDescent="0.3">
      <c r="A2494" s="2">
        <v>2493</v>
      </c>
      <c r="B2494" s="1" t="s">
        <v>5293</v>
      </c>
      <c r="C2494" s="1" t="s">
        <v>5290</v>
      </c>
      <c r="D2494" s="1" t="s">
        <v>5291</v>
      </c>
      <c r="E2494" s="1" t="s">
        <v>5294</v>
      </c>
      <c r="F2494" s="1" t="str">
        <f>HYPERLINK("https://talan.bank.gov.ua/get-user-certificate/J5325RAGkOmJ219NMPzK","Завантажити сертифікат")</f>
        <v>Завантажити сертифікат</v>
      </c>
    </row>
    <row r="2495" spans="1:6" x14ac:dyDescent="0.3">
      <c r="A2495" s="2">
        <v>2494</v>
      </c>
      <c r="B2495" s="1" t="s">
        <v>5295</v>
      </c>
      <c r="C2495" s="1" t="s">
        <v>5290</v>
      </c>
      <c r="D2495" s="1" t="s">
        <v>5291</v>
      </c>
      <c r="E2495" s="1" t="s">
        <v>5296</v>
      </c>
      <c r="F2495" s="1" t="str">
        <f>HYPERLINK("https://talan.bank.gov.ua/get-user-certificate/J5325fk5e67YW8WpDPMq","Завантажити сертифікат")</f>
        <v>Завантажити сертифікат</v>
      </c>
    </row>
    <row r="2496" spans="1:6" x14ac:dyDescent="0.3">
      <c r="A2496" s="2">
        <v>2495</v>
      </c>
      <c r="B2496" s="1" t="s">
        <v>5297</v>
      </c>
      <c r="C2496" s="1" t="s">
        <v>5290</v>
      </c>
      <c r="D2496" s="1" t="s">
        <v>5291</v>
      </c>
      <c r="E2496" s="1" t="s">
        <v>5298</v>
      </c>
      <c r="F2496" s="1" t="str">
        <f>HYPERLINK("https://talan.bank.gov.ua/get-user-certificate/J5325baEXVf3dwERrkBj","Завантажити сертифікат")</f>
        <v>Завантажити сертифікат</v>
      </c>
    </row>
    <row r="2497" spans="1:6" x14ac:dyDescent="0.3">
      <c r="A2497" s="2">
        <v>2496</v>
      </c>
      <c r="B2497" s="1" t="s">
        <v>5299</v>
      </c>
      <c r="C2497" s="1" t="s">
        <v>5290</v>
      </c>
      <c r="D2497" s="1" t="s">
        <v>5291</v>
      </c>
      <c r="E2497" s="1" t="s">
        <v>5300</v>
      </c>
      <c r="F2497" s="1" t="str">
        <f>HYPERLINK("https://talan.bank.gov.ua/get-user-certificate/J5325RF00zgMbqH-9-_7","Завантажити сертифікат")</f>
        <v>Завантажити сертифікат</v>
      </c>
    </row>
    <row r="2498" spans="1:6" x14ac:dyDescent="0.3">
      <c r="A2498" s="2">
        <v>2497</v>
      </c>
      <c r="B2498" s="1" t="s">
        <v>5301</v>
      </c>
      <c r="C2498" s="1" t="s">
        <v>5290</v>
      </c>
      <c r="D2498" s="1" t="s">
        <v>5291</v>
      </c>
      <c r="E2498" s="1" t="s">
        <v>5302</v>
      </c>
      <c r="F2498" s="1" t="str">
        <f>HYPERLINK("https://talan.bank.gov.ua/get-user-certificate/J5325t4B1iztrA0Bcsjy","Завантажити сертифікат")</f>
        <v>Завантажити сертифікат</v>
      </c>
    </row>
    <row r="2499" spans="1:6" ht="28.8" x14ac:dyDescent="0.3">
      <c r="A2499" s="2">
        <v>2498</v>
      </c>
      <c r="B2499" s="1" t="s">
        <v>5303</v>
      </c>
      <c r="C2499" s="1" t="s">
        <v>5290</v>
      </c>
      <c r="D2499" s="1" t="s">
        <v>5291</v>
      </c>
      <c r="E2499" s="1" t="s">
        <v>5304</v>
      </c>
      <c r="F2499" s="1" t="str">
        <f>HYPERLINK("https://talan.bank.gov.ua/get-user-certificate/J5325Kf1hKkelfucUnci","Завантажити сертифікат")</f>
        <v>Завантажити сертифікат</v>
      </c>
    </row>
    <row r="2500" spans="1:6" x14ac:dyDescent="0.3">
      <c r="A2500" s="2">
        <v>2499</v>
      </c>
      <c r="B2500" s="1" t="s">
        <v>5305</v>
      </c>
      <c r="C2500" s="1" t="s">
        <v>5290</v>
      </c>
      <c r="D2500" s="1" t="s">
        <v>5291</v>
      </c>
      <c r="E2500" s="1" t="s">
        <v>5306</v>
      </c>
      <c r="F2500" s="1" t="str">
        <f>HYPERLINK("https://talan.bank.gov.ua/get-user-certificate/J5325Wi5Vu31SQba3uFt","Завантажити сертифікат")</f>
        <v>Завантажити сертифікат</v>
      </c>
    </row>
    <row r="2501" spans="1:6" x14ac:dyDescent="0.3">
      <c r="A2501" s="2">
        <v>2500</v>
      </c>
      <c r="B2501" s="1" t="s">
        <v>5307</v>
      </c>
      <c r="C2501" s="1" t="s">
        <v>5290</v>
      </c>
      <c r="D2501" s="1" t="s">
        <v>5291</v>
      </c>
      <c r="E2501" s="1" t="s">
        <v>5308</v>
      </c>
      <c r="F2501" s="1" t="str">
        <f>HYPERLINK("https://talan.bank.gov.ua/get-user-certificate/J5325dkGC39UlpPMhV3U","Завантажити сертифікат")</f>
        <v>Завантажити сертифікат</v>
      </c>
    </row>
    <row r="2502" spans="1:6" x14ac:dyDescent="0.3">
      <c r="A2502" s="2">
        <v>2501</v>
      </c>
      <c r="B2502" s="1" t="s">
        <v>5309</v>
      </c>
      <c r="C2502" s="1" t="s">
        <v>5310</v>
      </c>
      <c r="D2502" s="1" t="s">
        <v>5311</v>
      </c>
      <c r="E2502" s="1" t="s">
        <v>5312</v>
      </c>
      <c r="F2502" s="1" t="str">
        <f>HYPERLINK("https://talan.bank.gov.ua/get-user-certificate/J5325opBX4yFQDd4tSb8","Завантажити сертифікат")</f>
        <v>Завантажити сертифікат</v>
      </c>
    </row>
    <row r="2503" spans="1:6" x14ac:dyDescent="0.3">
      <c r="A2503" s="2">
        <v>2502</v>
      </c>
      <c r="B2503" s="1" t="s">
        <v>5313</v>
      </c>
      <c r="C2503" s="1" t="s">
        <v>5310</v>
      </c>
      <c r="D2503" s="1" t="s">
        <v>5311</v>
      </c>
      <c r="E2503" s="1" t="s">
        <v>5314</v>
      </c>
      <c r="F2503" s="1" t="str">
        <f>HYPERLINK("https://talan.bank.gov.ua/get-user-certificate/J5325GjaGkiufNG5oGfB","Завантажити сертифікат")</f>
        <v>Завантажити сертифікат</v>
      </c>
    </row>
    <row r="2504" spans="1:6" x14ac:dyDescent="0.3">
      <c r="A2504" s="2">
        <v>2503</v>
      </c>
      <c r="B2504" s="1" t="s">
        <v>5315</v>
      </c>
      <c r="C2504" s="1" t="s">
        <v>5310</v>
      </c>
      <c r="D2504" s="1" t="s">
        <v>5311</v>
      </c>
      <c r="E2504" s="1" t="s">
        <v>5316</v>
      </c>
      <c r="F2504" s="1" t="str">
        <f>HYPERLINK("https://talan.bank.gov.ua/get-user-certificate/J5325_vPGbHvJ7Wx1npZ","Завантажити сертифікат")</f>
        <v>Завантажити сертифікат</v>
      </c>
    </row>
    <row r="2505" spans="1:6" x14ac:dyDescent="0.3">
      <c r="A2505" s="2">
        <v>2504</v>
      </c>
      <c r="B2505" s="1" t="s">
        <v>5317</v>
      </c>
      <c r="C2505" s="1" t="s">
        <v>5310</v>
      </c>
      <c r="D2505" s="1" t="s">
        <v>5311</v>
      </c>
      <c r="E2505" s="1" t="s">
        <v>5318</v>
      </c>
      <c r="F2505" s="1" t="str">
        <f>HYPERLINK("https://talan.bank.gov.ua/get-user-certificate/J5325w6Bt_owX7d3crXs","Завантажити сертифікат")</f>
        <v>Завантажити сертифікат</v>
      </c>
    </row>
    <row r="2506" spans="1:6" x14ac:dyDescent="0.3">
      <c r="A2506" s="2">
        <v>2505</v>
      </c>
      <c r="B2506" s="1" t="s">
        <v>5319</v>
      </c>
      <c r="C2506" s="1" t="s">
        <v>5310</v>
      </c>
      <c r="D2506" s="1" t="s">
        <v>5311</v>
      </c>
      <c r="E2506" s="1" t="s">
        <v>5320</v>
      </c>
      <c r="F2506" s="1" t="str">
        <f>HYPERLINK("https://talan.bank.gov.ua/get-user-certificate/J53253GTKS1bFY34ctIc","Завантажити сертифікат")</f>
        <v>Завантажити сертифікат</v>
      </c>
    </row>
    <row r="2507" spans="1:6" x14ac:dyDescent="0.3">
      <c r="A2507" s="2">
        <v>2506</v>
      </c>
      <c r="B2507" s="1" t="s">
        <v>5321</v>
      </c>
      <c r="C2507" s="1" t="s">
        <v>5310</v>
      </c>
      <c r="D2507" s="1" t="s">
        <v>5311</v>
      </c>
      <c r="E2507" s="1" t="s">
        <v>5322</v>
      </c>
      <c r="F2507" s="1" t="str">
        <f>HYPERLINK("https://talan.bank.gov.ua/get-user-certificate/J5325jMIcrR4ycYHgFm7","Завантажити сертифікат")</f>
        <v>Завантажити сертифікат</v>
      </c>
    </row>
    <row r="2508" spans="1:6" x14ac:dyDescent="0.3">
      <c r="A2508" s="2">
        <v>2507</v>
      </c>
      <c r="B2508" s="1" t="s">
        <v>5323</v>
      </c>
      <c r="C2508" s="1" t="s">
        <v>5310</v>
      </c>
      <c r="D2508" s="1" t="s">
        <v>5311</v>
      </c>
      <c r="E2508" s="1" t="s">
        <v>5324</v>
      </c>
      <c r="F2508" s="1" t="str">
        <f>HYPERLINK("https://talan.bank.gov.ua/get-user-certificate/J5325SwM95yAiy3OvjM0","Завантажити сертифікат")</f>
        <v>Завантажити сертифікат</v>
      </c>
    </row>
    <row r="2509" spans="1:6" x14ac:dyDescent="0.3">
      <c r="A2509" s="2">
        <v>2508</v>
      </c>
      <c r="B2509" s="1" t="s">
        <v>5325</v>
      </c>
      <c r="C2509" s="1" t="s">
        <v>5310</v>
      </c>
      <c r="D2509" s="1" t="s">
        <v>5311</v>
      </c>
      <c r="E2509" s="1" t="s">
        <v>5326</v>
      </c>
      <c r="F2509" s="1" t="str">
        <f>HYPERLINK("https://talan.bank.gov.ua/get-user-certificate/J5325mAZhb2w9jTTnhc1","Завантажити сертифікат")</f>
        <v>Завантажити сертифікат</v>
      </c>
    </row>
    <row r="2510" spans="1:6" x14ac:dyDescent="0.3">
      <c r="A2510" s="2">
        <v>2509</v>
      </c>
      <c r="B2510" s="1" t="s">
        <v>5327</v>
      </c>
      <c r="C2510" s="1" t="s">
        <v>5328</v>
      </c>
      <c r="D2510" s="1" t="s">
        <v>5329</v>
      </c>
      <c r="E2510" s="1" t="s">
        <v>5330</v>
      </c>
      <c r="F2510" s="1" t="str">
        <f>HYPERLINK("https://talan.bank.gov.ua/get-user-certificate/J5325r3gLqYwfKYTbFJA","Завантажити сертифікат")</f>
        <v>Завантажити сертифікат</v>
      </c>
    </row>
    <row r="2511" spans="1:6" x14ac:dyDescent="0.3">
      <c r="A2511" s="2">
        <v>2510</v>
      </c>
      <c r="B2511" s="1" t="s">
        <v>5331</v>
      </c>
      <c r="C2511" s="1" t="s">
        <v>5328</v>
      </c>
      <c r="D2511" s="1" t="s">
        <v>5329</v>
      </c>
      <c r="E2511" s="1" t="s">
        <v>5332</v>
      </c>
      <c r="F2511" s="1" t="str">
        <f>HYPERLINK("https://talan.bank.gov.ua/get-user-certificate/J5325m3GnMJ5rtmEkJ8L","Завантажити сертифікат")</f>
        <v>Завантажити сертифікат</v>
      </c>
    </row>
    <row r="2512" spans="1:6" x14ac:dyDescent="0.3">
      <c r="A2512" s="2">
        <v>2511</v>
      </c>
      <c r="B2512" s="1" t="s">
        <v>5333</v>
      </c>
      <c r="C2512" s="1" t="s">
        <v>5328</v>
      </c>
      <c r="D2512" s="1" t="s">
        <v>5329</v>
      </c>
      <c r="E2512" s="1" t="s">
        <v>5334</v>
      </c>
      <c r="F2512" s="1" t="str">
        <f>HYPERLINK("https://talan.bank.gov.ua/get-user-certificate/J53250CGLPzuAZD0QfaS","Завантажити сертифікат")</f>
        <v>Завантажити сертифікат</v>
      </c>
    </row>
    <row r="2513" spans="1:6" x14ac:dyDescent="0.3">
      <c r="A2513" s="2">
        <v>2512</v>
      </c>
      <c r="B2513" s="1" t="s">
        <v>5335</v>
      </c>
      <c r="C2513" s="1" t="s">
        <v>5336</v>
      </c>
      <c r="D2513" s="1" t="s">
        <v>5337</v>
      </c>
      <c r="E2513" s="1" t="s">
        <v>5338</v>
      </c>
      <c r="F2513" s="1" t="str">
        <f>HYPERLINK("https://talan.bank.gov.ua/get-user-certificate/J5325IMUDInoBwZYNwJs","Завантажити сертифікат")</f>
        <v>Завантажити сертифікат</v>
      </c>
    </row>
    <row r="2514" spans="1:6" x14ac:dyDescent="0.3">
      <c r="A2514" s="2">
        <v>2513</v>
      </c>
      <c r="B2514" s="1" t="s">
        <v>5339</v>
      </c>
      <c r="C2514" s="1" t="s">
        <v>5336</v>
      </c>
      <c r="D2514" s="1" t="s">
        <v>5337</v>
      </c>
      <c r="E2514" s="1" t="s">
        <v>5340</v>
      </c>
      <c r="F2514" s="1" t="str">
        <f>HYPERLINK("https://talan.bank.gov.ua/get-user-certificate/J5325YfB8spxQyDW3EF-","Завантажити сертифікат")</f>
        <v>Завантажити сертифікат</v>
      </c>
    </row>
    <row r="2515" spans="1:6" x14ac:dyDescent="0.3">
      <c r="A2515" s="2">
        <v>2514</v>
      </c>
      <c r="B2515" s="1" t="s">
        <v>5341</v>
      </c>
      <c r="C2515" s="1" t="s">
        <v>5336</v>
      </c>
      <c r="D2515" s="1" t="s">
        <v>5337</v>
      </c>
      <c r="E2515" s="1" t="s">
        <v>5342</v>
      </c>
      <c r="F2515" s="1" t="str">
        <f>HYPERLINK("https://talan.bank.gov.ua/get-user-certificate/J5325u91y0Gayd-G4ur7","Завантажити сертифікат")</f>
        <v>Завантажити сертифікат</v>
      </c>
    </row>
    <row r="2516" spans="1:6" ht="28.8" x14ac:dyDescent="0.3">
      <c r="A2516" s="2">
        <v>2515</v>
      </c>
      <c r="B2516" s="1" t="s">
        <v>5343</v>
      </c>
      <c r="C2516" s="1" t="s">
        <v>5336</v>
      </c>
      <c r="D2516" s="1" t="s">
        <v>5337</v>
      </c>
      <c r="E2516" s="1" t="s">
        <v>5344</v>
      </c>
      <c r="F2516" s="1" t="str">
        <f>HYPERLINK("https://talan.bank.gov.ua/get-user-certificate/J5325QcoD_aJXhlCtE0W","Завантажити сертифікат")</f>
        <v>Завантажити сертифікат</v>
      </c>
    </row>
    <row r="2517" spans="1:6" x14ac:dyDescent="0.3">
      <c r="A2517" s="2">
        <v>2516</v>
      </c>
      <c r="B2517" s="1" t="s">
        <v>5345</v>
      </c>
      <c r="C2517" s="1" t="s">
        <v>5336</v>
      </c>
      <c r="D2517" s="1" t="s">
        <v>5337</v>
      </c>
      <c r="E2517" s="1" t="s">
        <v>5346</v>
      </c>
      <c r="F2517" s="1" t="str">
        <f>HYPERLINK("https://talan.bank.gov.ua/get-user-certificate/J5325mG5n28G2czaY4jX","Завантажити сертифікат")</f>
        <v>Завантажити сертифікат</v>
      </c>
    </row>
    <row r="2518" spans="1:6" x14ac:dyDescent="0.3">
      <c r="A2518" s="2">
        <v>2517</v>
      </c>
      <c r="B2518" s="1" t="s">
        <v>5347</v>
      </c>
      <c r="C2518" s="1" t="s">
        <v>5336</v>
      </c>
      <c r="D2518" s="1" t="s">
        <v>5337</v>
      </c>
      <c r="E2518" s="1" t="s">
        <v>5348</v>
      </c>
      <c r="F2518" s="1" t="str">
        <f>HYPERLINK("https://talan.bank.gov.ua/get-user-certificate/J5325RfGg37hNBXFBiqn","Завантажити сертифікат")</f>
        <v>Завантажити сертифікат</v>
      </c>
    </row>
    <row r="2519" spans="1:6" x14ac:dyDescent="0.3">
      <c r="A2519" s="2">
        <v>2518</v>
      </c>
      <c r="B2519" s="1" t="s">
        <v>5349</v>
      </c>
      <c r="C2519" s="1" t="s">
        <v>5336</v>
      </c>
      <c r="D2519" s="1" t="s">
        <v>5337</v>
      </c>
      <c r="E2519" s="1" t="s">
        <v>5350</v>
      </c>
      <c r="F2519" s="1" t="str">
        <f>HYPERLINK("https://talan.bank.gov.ua/get-user-certificate/J5325A1GkzGUFya-_MW3","Завантажити сертифікат")</f>
        <v>Завантажити сертифікат</v>
      </c>
    </row>
    <row r="2520" spans="1:6" x14ac:dyDescent="0.3">
      <c r="A2520" s="2">
        <v>2519</v>
      </c>
      <c r="B2520" s="1" t="s">
        <v>5351</v>
      </c>
      <c r="C2520" s="1" t="s">
        <v>5336</v>
      </c>
      <c r="D2520" s="1" t="s">
        <v>5337</v>
      </c>
      <c r="E2520" s="1" t="s">
        <v>5352</v>
      </c>
      <c r="F2520" s="1" t="str">
        <f>HYPERLINK("https://talan.bank.gov.ua/get-user-certificate/J5325WxvQ6UgN9KWQTWr","Завантажити сертифікат")</f>
        <v>Завантажити сертифікат</v>
      </c>
    </row>
    <row r="2521" spans="1:6" x14ac:dyDescent="0.3">
      <c r="A2521" s="2">
        <v>2520</v>
      </c>
      <c r="B2521" s="1" t="s">
        <v>5353</v>
      </c>
      <c r="C2521" s="1" t="s">
        <v>5336</v>
      </c>
      <c r="D2521" s="1" t="s">
        <v>5337</v>
      </c>
      <c r="E2521" s="1" t="s">
        <v>5354</v>
      </c>
      <c r="F2521" s="1" t="str">
        <f>HYPERLINK("https://talan.bank.gov.ua/get-user-certificate/J5325M518QQqaLkxllAJ","Завантажити сертифікат")</f>
        <v>Завантажити сертифікат</v>
      </c>
    </row>
    <row r="2522" spans="1:6" x14ac:dyDescent="0.3">
      <c r="A2522" s="2">
        <v>2521</v>
      </c>
      <c r="B2522" s="1" t="s">
        <v>5355</v>
      </c>
      <c r="C2522" s="1" t="s">
        <v>5336</v>
      </c>
      <c r="D2522" s="1" t="s">
        <v>5337</v>
      </c>
      <c r="E2522" s="1" t="s">
        <v>5356</v>
      </c>
      <c r="F2522" s="1" t="str">
        <f>HYPERLINK("https://talan.bank.gov.ua/get-user-certificate/J5325PL_iF6rp_qMCj53","Завантажити сертифікат")</f>
        <v>Завантажити сертифікат</v>
      </c>
    </row>
    <row r="2523" spans="1:6" x14ac:dyDescent="0.3">
      <c r="A2523" s="2">
        <v>2522</v>
      </c>
      <c r="B2523" s="1" t="s">
        <v>5357</v>
      </c>
      <c r="C2523" s="1" t="s">
        <v>5336</v>
      </c>
      <c r="D2523" s="1" t="s">
        <v>5337</v>
      </c>
      <c r="E2523" s="1" t="s">
        <v>5358</v>
      </c>
      <c r="F2523" s="1" t="str">
        <f>HYPERLINK("https://talan.bank.gov.ua/get-user-certificate/J53254LvyGINaG8-XWVx","Завантажити сертифікат")</f>
        <v>Завантажити сертифікат</v>
      </c>
    </row>
    <row r="2524" spans="1:6" x14ac:dyDescent="0.3">
      <c r="A2524" s="2">
        <v>2523</v>
      </c>
      <c r="B2524" s="1" t="s">
        <v>5359</v>
      </c>
      <c r="C2524" s="1" t="s">
        <v>5336</v>
      </c>
      <c r="D2524" s="1" t="s">
        <v>5337</v>
      </c>
      <c r="E2524" s="1" t="s">
        <v>5360</v>
      </c>
      <c r="F2524" s="1" t="str">
        <f>HYPERLINK("https://talan.bank.gov.ua/get-user-certificate/J5325oDymygqmzPyZr3o","Завантажити сертифікат")</f>
        <v>Завантажити сертифікат</v>
      </c>
    </row>
    <row r="2525" spans="1:6" x14ac:dyDescent="0.3">
      <c r="A2525" s="2">
        <v>2524</v>
      </c>
      <c r="B2525" s="1" t="s">
        <v>5361</v>
      </c>
      <c r="C2525" s="1" t="s">
        <v>5336</v>
      </c>
      <c r="D2525" s="1" t="s">
        <v>5337</v>
      </c>
      <c r="E2525" s="1" t="s">
        <v>5362</v>
      </c>
      <c r="F2525" s="1" t="str">
        <f>HYPERLINK("https://talan.bank.gov.ua/get-user-certificate/J5325Xwh7ta44gx3xiGt","Завантажити сертифікат")</f>
        <v>Завантажити сертифікат</v>
      </c>
    </row>
    <row r="2526" spans="1:6" x14ac:dyDescent="0.3">
      <c r="A2526" s="2">
        <v>2525</v>
      </c>
      <c r="B2526" s="1" t="s">
        <v>5363</v>
      </c>
      <c r="C2526" s="1" t="s">
        <v>5336</v>
      </c>
      <c r="D2526" s="1" t="s">
        <v>5337</v>
      </c>
      <c r="E2526" s="1" t="s">
        <v>5364</v>
      </c>
      <c r="F2526" s="1" t="str">
        <f>HYPERLINK("https://talan.bank.gov.ua/get-user-certificate/J5325SOJJv_IOJuFYzoP","Завантажити сертифікат")</f>
        <v>Завантажити сертифікат</v>
      </c>
    </row>
    <row r="2527" spans="1:6" x14ac:dyDescent="0.3">
      <c r="A2527" s="2">
        <v>2526</v>
      </c>
      <c r="B2527" s="1" t="s">
        <v>5365</v>
      </c>
      <c r="C2527" s="1" t="s">
        <v>5336</v>
      </c>
      <c r="D2527" s="1" t="s">
        <v>5337</v>
      </c>
      <c r="E2527" s="1" t="s">
        <v>5366</v>
      </c>
      <c r="F2527" s="1" t="str">
        <f>HYPERLINK("https://talan.bank.gov.ua/get-user-certificate/J5325G3ealqKkaCwdZWq","Завантажити сертифікат")</f>
        <v>Завантажити сертифікат</v>
      </c>
    </row>
    <row r="2528" spans="1:6" x14ac:dyDescent="0.3">
      <c r="A2528" s="2">
        <v>2527</v>
      </c>
      <c r="B2528" s="1" t="s">
        <v>5367</v>
      </c>
      <c r="C2528" s="1" t="s">
        <v>5336</v>
      </c>
      <c r="D2528" s="1" t="s">
        <v>5337</v>
      </c>
      <c r="E2528" s="1" t="s">
        <v>5368</v>
      </c>
      <c r="F2528" s="1" t="str">
        <f>HYPERLINK("https://talan.bank.gov.ua/get-user-certificate/J53250UPjRXfnfR4SLOJ","Завантажити сертифікат")</f>
        <v>Завантажити сертифікат</v>
      </c>
    </row>
    <row r="2529" spans="1:6" x14ac:dyDescent="0.3">
      <c r="A2529" s="2">
        <v>2528</v>
      </c>
      <c r="B2529" s="1" t="s">
        <v>5369</v>
      </c>
      <c r="C2529" s="1" t="s">
        <v>5336</v>
      </c>
      <c r="D2529" s="1" t="s">
        <v>5337</v>
      </c>
      <c r="E2529" s="1" t="s">
        <v>5370</v>
      </c>
      <c r="F2529" s="1" t="str">
        <f>HYPERLINK("https://talan.bank.gov.ua/get-user-certificate/J5325Cufn-OTPoh55Jkb","Завантажити сертифікат")</f>
        <v>Завантажити сертифікат</v>
      </c>
    </row>
    <row r="2530" spans="1:6" x14ac:dyDescent="0.3">
      <c r="A2530" s="2">
        <v>2529</v>
      </c>
      <c r="B2530" s="1" t="s">
        <v>5371</v>
      </c>
      <c r="C2530" s="1" t="s">
        <v>5336</v>
      </c>
      <c r="D2530" s="1" t="s">
        <v>5337</v>
      </c>
      <c r="E2530" s="1" t="s">
        <v>5372</v>
      </c>
      <c r="F2530" s="1" t="str">
        <f>HYPERLINK("https://talan.bank.gov.ua/get-user-certificate/J5325rXxD8EQEjMlwko9","Завантажити сертифікат")</f>
        <v>Завантажити сертифікат</v>
      </c>
    </row>
    <row r="2531" spans="1:6" x14ac:dyDescent="0.3">
      <c r="A2531" s="2">
        <v>2530</v>
      </c>
      <c r="B2531" s="1" t="s">
        <v>5373</v>
      </c>
      <c r="C2531" s="1" t="s">
        <v>5336</v>
      </c>
      <c r="D2531" s="1" t="s">
        <v>5337</v>
      </c>
      <c r="E2531" s="1" t="s">
        <v>5374</v>
      </c>
      <c r="F2531" s="1" t="str">
        <f>HYPERLINK("https://talan.bank.gov.ua/get-user-certificate/J5325yR1OvqKFvjCDSP6","Завантажити сертифікат")</f>
        <v>Завантажити сертифікат</v>
      </c>
    </row>
    <row r="2532" spans="1:6" x14ac:dyDescent="0.3">
      <c r="A2532" s="2">
        <v>2531</v>
      </c>
      <c r="B2532" s="1" t="s">
        <v>5375</v>
      </c>
      <c r="C2532" s="1" t="s">
        <v>5336</v>
      </c>
      <c r="D2532" s="1" t="s">
        <v>5337</v>
      </c>
      <c r="E2532" s="1" t="s">
        <v>5376</v>
      </c>
      <c r="F2532" s="1" t="str">
        <f>HYPERLINK("https://talan.bank.gov.ua/get-user-certificate/J5325U4G6jKpxdaQabXr","Завантажити сертифікат")</f>
        <v>Завантажити сертифікат</v>
      </c>
    </row>
    <row r="2533" spans="1:6" x14ac:dyDescent="0.3">
      <c r="A2533" s="2">
        <v>2532</v>
      </c>
      <c r="B2533" s="1" t="s">
        <v>5377</v>
      </c>
      <c r="C2533" s="1" t="s">
        <v>5336</v>
      </c>
      <c r="D2533" s="1" t="s">
        <v>5337</v>
      </c>
      <c r="E2533" s="1" t="s">
        <v>5378</v>
      </c>
      <c r="F2533" s="1" t="str">
        <f>HYPERLINK("https://talan.bank.gov.ua/get-user-certificate/J5325CPwv8NcGqJIedcM","Завантажити сертифікат")</f>
        <v>Завантажити сертифікат</v>
      </c>
    </row>
    <row r="2534" spans="1:6" x14ac:dyDescent="0.3">
      <c r="A2534" s="2">
        <v>2533</v>
      </c>
      <c r="B2534" s="1" t="s">
        <v>5379</v>
      </c>
      <c r="C2534" s="1" t="s">
        <v>5336</v>
      </c>
      <c r="D2534" s="1" t="s">
        <v>5337</v>
      </c>
      <c r="E2534" s="1" t="s">
        <v>5380</v>
      </c>
      <c r="F2534" s="1" t="str">
        <f>HYPERLINK("https://talan.bank.gov.ua/get-user-certificate/J5325Y_u_6wXe21tkr38","Завантажити сертифікат")</f>
        <v>Завантажити сертифікат</v>
      </c>
    </row>
    <row r="2535" spans="1:6" x14ac:dyDescent="0.3">
      <c r="A2535" s="2">
        <v>2534</v>
      </c>
      <c r="B2535" s="1" t="s">
        <v>5381</v>
      </c>
      <c r="C2535" s="1" t="s">
        <v>5336</v>
      </c>
      <c r="D2535" s="1" t="s">
        <v>5337</v>
      </c>
      <c r="E2535" s="1" t="s">
        <v>5382</v>
      </c>
      <c r="F2535" s="1" t="str">
        <f>HYPERLINK("https://talan.bank.gov.ua/get-user-certificate/J5325qc7-YiK7x5NAeWw","Завантажити сертифікат")</f>
        <v>Завантажити сертифікат</v>
      </c>
    </row>
    <row r="2536" spans="1:6" x14ac:dyDescent="0.3">
      <c r="A2536" s="2">
        <v>2535</v>
      </c>
      <c r="B2536" s="1" t="s">
        <v>5383</v>
      </c>
      <c r="C2536" s="1" t="s">
        <v>5336</v>
      </c>
      <c r="D2536" s="1" t="s">
        <v>5337</v>
      </c>
      <c r="E2536" s="1" t="s">
        <v>5384</v>
      </c>
      <c r="F2536" s="1" t="str">
        <f>HYPERLINK("https://talan.bank.gov.ua/get-user-certificate/J53251J33WyOxzyLRce7","Завантажити сертифікат")</f>
        <v>Завантажити сертифікат</v>
      </c>
    </row>
    <row r="2537" spans="1:6" x14ac:dyDescent="0.3">
      <c r="A2537" s="2">
        <v>2536</v>
      </c>
      <c r="B2537" s="1" t="s">
        <v>5385</v>
      </c>
      <c r="C2537" s="1" t="s">
        <v>5336</v>
      </c>
      <c r="D2537" s="1" t="s">
        <v>5337</v>
      </c>
      <c r="E2537" s="1" t="s">
        <v>5386</v>
      </c>
      <c r="F2537" s="1" t="str">
        <f>HYPERLINK("https://talan.bank.gov.ua/get-user-certificate/J5325OGfX3vBpLuMivXx","Завантажити сертифікат")</f>
        <v>Завантажити сертифікат</v>
      </c>
    </row>
    <row r="2538" spans="1:6" x14ac:dyDescent="0.3">
      <c r="A2538" s="2">
        <v>2537</v>
      </c>
      <c r="B2538" s="1" t="s">
        <v>5387</v>
      </c>
      <c r="C2538" s="1" t="s">
        <v>5336</v>
      </c>
      <c r="D2538" s="1" t="s">
        <v>5337</v>
      </c>
      <c r="E2538" s="1" t="s">
        <v>5388</v>
      </c>
      <c r="F2538" s="1" t="str">
        <f>HYPERLINK("https://talan.bank.gov.ua/get-user-certificate/J5325e43o_Kc_D3jtxZF","Завантажити сертифікат")</f>
        <v>Завантажити сертифікат</v>
      </c>
    </row>
    <row r="2539" spans="1:6" x14ac:dyDescent="0.3">
      <c r="A2539" s="2">
        <v>2538</v>
      </c>
      <c r="B2539" s="1" t="s">
        <v>5389</v>
      </c>
      <c r="C2539" s="1" t="s">
        <v>5336</v>
      </c>
      <c r="D2539" s="1" t="s">
        <v>5337</v>
      </c>
      <c r="E2539" s="1" t="s">
        <v>5390</v>
      </c>
      <c r="F2539" s="1" t="str">
        <f>HYPERLINK("https://talan.bank.gov.ua/get-user-certificate/J5325waXlMoNGYmcJfdn","Завантажити сертифікат")</f>
        <v>Завантажити сертифікат</v>
      </c>
    </row>
    <row r="2540" spans="1:6" x14ac:dyDescent="0.3">
      <c r="A2540" s="2">
        <v>2539</v>
      </c>
      <c r="B2540" s="1" t="s">
        <v>5391</v>
      </c>
      <c r="C2540" s="1" t="s">
        <v>5336</v>
      </c>
      <c r="D2540" s="1" t="s">
        <v>5337</v>
      </c>
      <c r="E2540" s="1" t="s">
        <v>5392</v>
      </c>
      <c r="F2540" s="1" t="str">
        <f>HYPERLINK("https://talan.bank.gov.ua/get-user-certificate/J5325LbzcvImsiTVBc2Z","Завантажити сертифікат")</f>
        <v>Завантажити сертифікат</v>
      </c>
    </row>
    <row r="2541" spans="1:6" x14ac:dyDescent="0.3">
      <c r="A2541" s="2">
        <v>2540</v>
      </c>
      <c r="B2541" s="1" t="s">
        <v>5393</v>
      </c>
      <c r="C2541" s="1" t="s">
        <v>5336</v>
      </c>
      <c r="D2541" s="1" t="s">
        <v>5337</v>
      </c>
      <c r="E2541" s="1" t="s">
        <v>5394</v>
      </c>
      <c r="F2541" s="1" t="str">
        <f>HYPERLINK("https://talan.bank.gov.ua/get-user-certificate/J5325IA0F1t1QOCy7Ol0","Завантажити сертифікат")</f>
        <v>Завантажити сертифікат</v>
      </c>
    </row>
    <row r="2542" spans="1:6" x14ac:dyDescent="0.3">
      <c r="A2542" s="2">
        <v>2541</v>
      </c>
      <c r="B2542" s="1" t="s">
        <v>5395</v>
      </c>
      <c r="C2542" s="1" t="s">
        <v>5336</v>
      </c>
      <c r="D2542" s="1" t="s">
        <v>5337</v>
      </c>
      <c r="E2542" s="1" t="s">
        <v>5396</v>
      </c>
      <c r="F2542" s="1" t="str">
        <f>HYPERLINK("https://talan.bank.gov.ua/get-user-certificate/J53257Faz9ndfBcGpjeL","Завантажити сертифікат")</f>
        <v>Завантажити сертифікат</v>
      </c>
    </row>
    <row r="2543" spans="1:6" x14ac:dyDescent="0.3">
      <c r="A2543" s="2">
        <v>2542</v>
      </c>
      <c r="B2543" s="1" t="s">
        <v>5397</v>
      </c>
      <c r="C2543" s="1" t="s">
        <v>5336</v>
      </c>
      <c r="D2543" s="1" t="s">
        <v>5337</v>
      </c>
      <c r="E2543" s="1" t="s">
        <v>5398</v>
      </c>
      <c r="F2543" s="1" t="str">
        <f>HYPERLINK("https://talan.bank.gov.ua/get-user-certificate/J5325DH0TQN9S__J0myI","Завантажити сертифікат")</f>
        <v>Завантажити сертифікат</v>
      </c>
    </row>
    <row r="2544" spans="1:6" x14ac:dyDescent="0.3">
      <c r="A2544" s="2">
        <v>2543</v>
      </c>
      <c r="B2544" s="1" t="s">
        <v>5399</v>
      </c>
      <c r="C2544" s="1" t="s">
        <v>5336</v>
      </c>
      <c r="D2544" s="1" t="s">
        <v>5337</v>
      </c>
      <c r="E2544" s="1" t="s">
        <v>5400</v>
      </c>
      <c r="F2544" s="1" t="str">
        <f>HYPERLINK("https://talan.bank.gov.ua/get-user-certificate/J5325A5xLawfxlBPgY5t","Завантажити сертифікат")</f>
        <v>Завантажити сертифікат</v>
      </c>
    </row>
    <row r="2545" spans="1:6" x14ac:dyDescent="0.3">
      <c r="A2545" s="2">
        <v>2544</v>
      </c>
      <c r="B2545" s="1" t="s">
        <v>5401</v>
      </c>
      <c r="C2545" s="1" t="s">
        <v>5336</v>
      </c>
      <c r="D2545" s="1" t="s">
        <v>5337</v>
      </c>
      <c r="E2545" s="1" t="s">
        <v>5402</v>
      </c>
      <c r="F2545" s="1" t="str">
        <f>HYPERLINK("https://talan.bank.gov.ua/get-user-certificate/J5325Pkrt3LxXZ8qOFYj","Завантажити сертифікат")</f>
        <v>Завантажити сертифікат</v>
      </c>
    </row>
    <row r="2546" spans="1:6" x14ac:dyDescent="0.3">
      <c r="A2546" s="2">
        <v>2545</v>
      </c>
      <c r="B2546" s="1" t="s">
        <v>5403</v>
      </c>
      <c r="C2546" s="1" t="s">
        <v>5404</v>
      </c>
      <c r="D2546" s="1" t="s">
        <v>5405</v>
      </c>
      <c r="E2546" s="1" t="s">
        <v>5406</v>
      </c>
      <c r="F2546" s="1" t="str">
        <f>HYPERLINK("https://talan.bank.gov.ua/get-user-certificate/J5325V04ewi87Q6QY1u5","Завантажити сертифікат")</f>
        <v>Завантажити сертифікат</v>
      </c>
    </row>
    <row r="2547" spans="1:6" x14ac:dyDescent="0.3">
      <c r="A2547" s="2">
        <v>2546</v>
      </c>
      <c r="B2547" s="1" t="s">
        <v>5407</v>
      </c>
      <c r="C2547" s="1" t="s">
        <v>5404</v>
      </c>
      <c r="D2547" s="1" t="s">
        <v>5405</v>
      </c>
      <c r="E2547" s="1" t="s">
        <v>5408</v>
      </c>
      <c r="F2547" s="1" t="str">
        <f>HYPERLINK("https://talan.bank.gov.ua/get-user-certificate/J53255LEj016M75_KUZ5","Завантажити сертифікат")</f>
        <v>Завантажити сертифікат</v>
      </c>
    </row>
    <row r="2548" spans="1:6" x14ac:dyDescent="0.3">
      <c r="A2548" s="2">
        <v>2547</v>
      </c>
      <c r="B2548" s="1" t="s">
        <v>5409</v>
      </c>
      <c r="C2548" s="1" t="s">
        <v>5404</v>
      </c>
      <c r="D2548" s="1" t="s">
        <v>5405</v>
      </c>
      <c r="E2548" s="1" t="s">
        <v>5410</v>
      </c>
      <c r="F2548" s="1" t="str">
        <f>HYPERLINK("https://talan.bank.gov.ua/get-user-certificate/J5325joOl5nMb5P45p5V","Завантажити сертифікат")</f>
        <v>Завантажити сертифікат</v>
      </c>
    </row>
    <row r="2549" spans="1:6" x14ac:dyDescent="0.3">
      <c r="A2549" s="2">
        <v>2548</v>
      </c>
      <c r="B2549" s="1" t="s">
        <v>5411</v>
      </c>
      <c r="C2549" s="1" t="s">
        <v>5404</v>
      </c>
      <c r="D2549" s="1" t="s">
        <v>5405</v>
      </c>
      <c r="E2549" s="1" t="s">
        <v>5412</v>
      </c>
      <c r="F2549" s="1" t="str">
        <f>HYPERLINK("https://talan.bank.gov.ua/get-user-certificate/J53250UEZ0JKmJyNVPY6","Завантажити сертифікат")</f>
        <v>Завантажити сертифікат</v>
      </c>
    </row>
    <row r="2550" spans="1:6" x14ac:dyDescent="0.3">
      <c r="A2550" s="2">
        <v>2549</v>
      </c>
      <c r="B2550" s="1" t="s">
        <v>5413</v>
      </c>
      <c r="C2550" s="1" t="s">
        <v>5404</v>
      </c>
      <c r="D2550" s="1" t="s">
        <v>5405</v>
      </c>
      <c r="E2550" s="1" t="s">
        <v>5414</v>
      </c>
      <c r="F2550" s="1" t="str">
        <f>HYPERLINK("https://talan.bank.gov.ua/get-user-certificate/J5325EL0sxLFmxoyu6yt","Завантажити сертифікат")</f>
        <v>Завантажити сертифікат</v>
      </c>
    </row>
    <row r="2551" spans="1:6" x14ac:dyDescent="0.3">
      <c r="A2551" s="2">
        <v>2550</v>
      </c>
      <c r="B2551" s="1" t="s">
        <v>5415</v>
      </c>
      <c r="C2551" s="1" t="s">
        <v>5404</v>
      </c>
      <c r="D2551" s="1" t="s">
        <v>5405</v>
      </c>
      <c r="E2551" s="1" t="s">
        <v>5416</v>
      </c>
      <c r="F2551" s="1" t="str">
        <f>HYPERLINK("https://talan.bank.gov.ua/get-user-certificate/J5325MTCGiAi3ubV_jui","Завантажити сертифікат")</f>
        <v>Завантажити сертифікат</v>
      </c>
    </row>
    <row r="2552" spans="1:6" x14ac:dyDescent="0.3">
      <c r="A2552" s="2">
        <v>2551</v>
      </c>
      <c r="B2552" s="1" t="s">
        <v>5417</v>
      </c>
      <c r="C2552" s="1" t="s">
        <v>5404</v>
      </c>
      <c r="D2552" s="1" t="s">
        <v>5405</v>
      </c>
      <c r="E2552" s="1" t="s">
        <v>5418</v>
      </c>
      <c r="F2552" s="1" t="str">
        <f>HYPERLINK("https://talan.bank.gov.ua/get-user-certificate/J5325rqetZen9yF95vfG","Завантажити сертифікат")</f>
        <v>Завантажити сертифікат</v>
      </c>
    </row>
    <row r="2553" spans="1:6" x14ac:dyDescent="0.3">
      <c r="A2553" s="2">
        <v>2552</v>
      </c>
      <c r="B2553" s="1" t="s">
        <v>5419</v>
      </c>
      <c r="C2553" s="1" t="s">
        <v>5404</v>
      </c>
      <c r="D2553" s="1" t="s">
        <v>5405</v>
      </c>
      <c r="E2553" s="1" t="s">
        <v>5420</v>
      </c>
      <c r="F2553" s="1" t="str">
        <f>HYPERLINK("https://talan.bank.gov.ua/get-user-certificate/J5325sH9XHdOJv3RhFYd","Завантажити сертифікат")</f>
        <v>Завантажити сертифікат</v>
      </c>
    </row>
    <row r="2554" spans="1:6" x14ac:dyDescent="0.3">
      <c r="A2554" s="2">
        <v>2553</v>
      </c>
      <c r="B2554" s="1" t="s">
        <v>5421</v>
      </c>
      <c r="C2554" s="1" t="s">
        <v>5404</v>
      </c>
      <c r="D2554" s="1" t="s">
        <v>5405</v>
      </c>
      <c r="E2554" s="1" t="s">
        <v>5422</v>
      </c>
      <c r="F2554" s="1" t="str">
        <f>HYPERLINK("https://talan.bank.gov.ua/get-user-certificate/J5325R1zRVnozM9SPYpL","Завантажити сертифікат")</f>
        <v>Завантажити сертифікат</v>
      </c>
    </row>
    <row r="2555" spans="1:6" x14ac:dyDescent="0.3">
      <c r="A2555" s="2">
        <v>2554</v>
      </c>
      <c r="B2555" s="1" t="s">
        <v>5423</v>
      </c>
      <c r="C2555" s="1" t="s">
        <v>5404</v>
      </c>
      <c r="D2555" s="1" t="s">
        <v>5405</v>
      </c>
      <c r="E2555" s="1" t="s">
        <v>5424</v>
      </c>
      <c r="F2555" s="1" t="str">
        <f>HYPERLINK("https://talan.bank.gov.ua/get-user-certificate/J5325euyjfzqDSDwKjMx","Завантажити сертифікат")</f>
        <v>Завантажити сертифікат</v>
      </c>
    </row>
    <row r="2556" spans="1:6" x14ac:dyDescent="0.3">
      <c r="A2556" s="2">
        <v>2555</v>
      </c>
      <c r="B2556" s="1" t="s">
        <v>5425</v>
      </c>
      <c r="C2556" s="1" t="s">
        <v>5404</v>
      </c>
      <c r="D2556" s="1" t="s">
        <v>5405</v>
      </c>
      <c r="E2556" s="1" t="s">
        <v>5426</v>
      </c>
      <c r="F2556" s="1" t="str">
        <f>HYPERLINK("https://talan.bank.gov.ua/get-user-certificate/J5325jS67i7dWpLHYR34","Завантажити сертифікат")</f>
        <v>Завантажити сертифікат</v>
      </c>
    </row>
    <row r="2557" spans="1:6" x14ac:dyDescent="0.3">
      <c r="A2557" s="2">
        <v>2556</v>
      </c>
      <c r="B2557" s="1" t="s">
        <v>5427</v>
      </c>
      <c r="C2557" s="1" t="s">
        <v>5404</v>
      </c>
      <c r="D2557" s="1" t="s">
        <v>5405</v>
      </c>
      <c r="E2557" s="1" t="s">
        <v>5428</v>
      </c>
      <c r="F2557" s="1" t="str">
        <f>HYPERLINK("https://talan.bank.gov.ua/get-user-certificate/J5325Cfu1B5p1nf90GhO","Завантажити сертифікат")</f>
        <v>Завантажити сертифікат</v>
      </c>
    </row>
    <row r="2558" spans="1:6" x14ac:dyDescent="0.3">
      <c r="A2558" s="2">
        <v>2557</v>
      </c>
      <c r="B2558" s="1" t="s">
        <v>5429</v>
      </c>
      <c r="C2558" s="1" t="s">
        <v>5404</v>
      </c>
      <c r="D2558" s="1" t="s">
        <v>5405</v>
      </c>
      <c r="E2558" s="1" t="s">
        <v>5430</v>
      </c>
      <c r="F2558" s="1" t="str">
        <f>HYPERLINK("https://talan.bank.gov.ua/get-user-certificate/J5325WWvg3zqQVz2pECH","Завантажити сертифікат")</f>
        <v>Завантажити сертифікат</v>
      </c>
    </row>
    <row r="2559" spans="1:6" x14ac:dyDescent="0.3">
      <c r="A2559" s="2">
        <v>2558</v>
      </c>
      <c r="B2559" s="1" t="s">
        <v>5431</v>
      </c>
      <c r="C2559" s="1" t="s">
        <v>5404</v>
      </c>
      <c r="D2559" s="1" t="s">
        <v>5405</v>
      </c>
      <c r="E2559" s="1" t="s">
        <v>5432</v>
      </c>
      <c r="F2559" s="1" t="str">
        <f>HYPERLINK("https://talan.bank.gov.ua/get-user-certificate/J5325x2Wx9wgds7EfFOG","Завантажити сертифікат")</f>
        <v>Завантажити сертифікат</v>
      </c>
    </row>
    <row r="2560" spans="1:6" x14ac:dyDescent="0.3">
      <c r="A2560" s="2">
        <v>2559</v>
      </c>
      <c r="B2560" s="1" t="s">
        <v>5433</v>
      </c>
      <c r="C2560" s="1" t="s">
        <v>5404</v>
      </c>
      <c r="D2560" s="1" t="s">
        <v>5405</v>
      </c>
      <c r="E2560" s="1" t="s">
        <v>5434</v>
      </c>
      <c r="F2560" s="1" t="str">
        <f>HYPERLINK("https://talan.bank.gov.ua/get-user-certificate/J5325-DAZ_Hmn-2GENvU","Завантажити сертифікат")</f>
        <v>Завантажити сертифікат</v>
      </c>
    </row>
    <row r="2561" spans="1:6" x14ac:dyDescent="0.3">
      <c r="A2561" s="2">
        <v>2560</v>
      </c>
      <c r="B2561" s="1" t="s">
        <v>5435</v>
      </c>
      <c r="C2561" s="1" t="s">
        <v>5404</v>
      </c>
      <c r="D2561" s="1" t="s">
        <v>5405</v>
      </c>
      <c r="E2561" s="1" t="s">
        <v>5436</v>
      </c>
      <c r="F2561" s="1" t="str">
        <f>HYPERLINK("https://talan.bank.gov.ua/get-user-certificate/J5325Lq5Bq7iJtgJccgJ","Завантажити сертифікат")</f>
        <v>Завантажити сертифікат</v>
      </c>
    </row>
    <row r="2562" spans="1:6" x14ac:dyDescent="0.3">
      <c r="A2562" s="2">
        <v>2561</v>
      </c>
      <c r="B2562" s="1" t="s">
        <v>5437</v>
      </c>
      <c r="C2562" s="1" t="s">
        <v>5404</v>
      </c>
      <c r="D2562" s="1" t="s">
        <v>5405</v>
      </c>
      <c r="E2562" s="1" t="s">
        <v>5438</v>
      </c>
      <c r="F2562" s="1" t="str">
        <f>HYPERLINK("https://talan.bank.gov.ua/get-user-certificate/J5325Q8mJEhljgI0tfw6","Завантажити сертифікат")</f>
        <v>Завантажити сертифікат</v>
      </c>
    </row>
    <row r="2563" spans="1:6" x14ac:dyDescent="0.3">
      <c r="A2563" s="2">
        <v>2562</v>
      </c>
      <c r="B2563" s="1" t="s">
        <v>5439</v>
      </c>
      <c r="C2563" s="1" t="s">
        <v>5404</v>
      </c>
      <c r="D2563" s="1" t="s">
        <v>5405</v>
      </c>
      <c r="E2563" s="1" t="s">
        <v>5440</v>
      </c>
      <c r="F2563" s="1" t="str">
        <f>HYPERLINK("https://talan.bank.gov.ua/get-user-certificate/J5325XoHoui4kOpn_M7O","Завантажити сертифікат")</f>
        <v>Завантажити сертифікат</v>
      </c>
    </row>
    <row r="2564" spans="1:6" x14ac:dyDescent="0.3">
      <c r="A2564" s="2">
        <v>2563</v>
      </c>
      <c r="B2564" s="1" t="s">
        <v>5441</v>
      </c>
      <c r="C2564" s="1" t="s">
        <v>5404</v>
      </c>
      <c r="D2564" s="1" t="s">
        <v>5405</v>
      </c>
      <c r="E2564" s="1" t="s">
        <v>5442</v>
      </c>
      <c r="F2564" s="1" t="str">
        <f>HYPERLINK("https://talan.bank.gov.ua/get-user-certificate/J5325M9zmDB4nyKFaFQt","Завантажити сертифікат")</f>
        <v>Завантажити сертифікат</v>
      </c>
    </row>
    <row r="2565" spans="1:6" x14ac:dyDescent="0.3">
      <c r="A2565" s="2">
        <v>2564</v>
      </c>
      <c r="B2565" s="1" t="s">
        <v>5443</v>
      </c>
      <c r="C2565" s="1" t="s">
        <v>5404</v>
      </c>
      <c r="D2565" s="1" t="s">
        <v>5405</v>
      </c>
      <c r="E2565" s="1" t="s">
        <v>5444</v>
      </c>
      <c r="F2565" s="1" t="str">
        <f>HYPERLINK("https://talan.bank.gov.ua/get-user-certificate/J53255JLJNxf4zxdLdoD","Завантажити сертифікат")</f>
        <v>Завантажити сертифікат</v>
      </c>
    </row>
    <row r="2566" spans="1:6" x14ac:dyDescent="0.3">
      <c r="A2566" s="2">
        <v>2565</v>
      </c>
      <c r="B2566" s="1" t="s">
        <v>5445</v>
      </c>
      <c r="C2566" s="1" t="s">
        <v>5404</v>
      </c>
      <c r="D2566" s="1" t="s">
        <v>5405</v>
      </c>
      <c r="E2566" s="1" t="s">
        <v>5446</v>
      </c>
      <c r="F2566" s="1" t="str">
        <f>HYPERLINK("https://talan.bank.gov.ua/get-user-certificate/J53257LjPgXio-cBW5Km","Завантажити сертифікат")</f>
        <v>Завантажити сертифікат</v>
      </c>
    </row>
    <row r="2567" spans="1:6" x14ac:dyDescent="0.3">
      <c r="A2567" s="2">
        <v>2566</v>
      </c>
      <c r="B2567" s="1" t="s">
        <v>5447</v>
      </c>
      <c r="C2567" s="1" t="s">
        <v>5404</v>
      </c>
      <c r="D2567" s="1" t="s">
        <v>5405</v>
      </c>
      <c r="E2567" s="1" t="s">
        <v>5448</v>
      </c>
      <c r="F2567" s="1" t="str">
        <f>HYPERLINK("https://talan.bank.gov.ua/get-user-certificate/J5325-rakTYxBITur8QD","Завантажити сертифікат")</f>
        <v>Завантажити сертифікат</v>
      </c>
    </row>
    <row r="2568" spans="1:6" x14ac:dyDescent="0.3">
      <c r="A2568" s="2">
        <v>2567</v>
      </c>
      <c r="B2568" s="1" t="s">
        <v>5449</v>
      </c>
      <c r="C2568" s="1" t="s">
        <v>5404</v>
      </c>
      <c r="D2568" s="1" t="s">
        <v>5405</v>
      </c>
      <c r="E2568" s="1" t="s">
        <v>5450</v>
      </c>
      <c r="F2568" s="1" t="str">
        <f>HYPERLINK("https://talan.bank.gov.ua/get-user-certificate/J5325jjgbnY9qDRqP_6j","Завантажити сертифікат")</f>
        <v>Завантажити сертифікат</v>
      </c>
    </row>
    <row r="2569" spans="1:6" x14ac:dyDescent="0.3">
      <c r="A2569" s="2">
        <v>2568</v>
      </c>
      <c r="B2569" s="1" t="s">
        <v>5451</v>
      </c>
      <c r="C2569" s="1" t="s">
        <v>5404</v>
      </c>
      <c r="D2569" s="1" t="s">
        <v>5405</v>
      </c>
      <c r="E2569" s="1" t="s">
        <v>5452</v>
      </c>
      <c r="F2569" s="1" t="str">
        <f>HYPERLINK("https://talan.bank.gov.ua/get-user-certificate/J5325Z0v7TyfV5c6bEYi","Завантажити сертифікат")</f>
        <v>Завантажити сертифікат</v>
      </c>
    </row>
    <row r="2570" spans="1:6" x14ac:dyDescent="0.3">
      <c r="A2570" s="2">
        <v>2569</v>
      </c>
      <c r="B2570" s="1" t="s">
        <v>5453</v>
      </c>
      <c r="C2570" s="1" t="s">
        <v>5404</v>
      </c>
      <c r="D2570" s="1" t="s">
        <v>5405</v>
      </c>
      <c r="E2570" s="1" t="s">
        <v>5454</v>
      </c>
      <c r="F2570" s="1" t="str">
        <f>HYPERLINK("https://talan.bank.gov.ua/get-user-certificate/J5325t_ub_Q8vI-OSRb6","Завантажити сертифікат")</f>
        <v>Завантажити сертифікат</v>
      </c>
    </row>
    <row r="2571" spans="1:6" x14ac:dyDescent="0.3">
      <c r="A2571" s="2">
        <v>2570</v>
      </c>
      <c r="B2571" s="1" t="s">
        <v>5455</v>
      </c>
      <c r="C2571" s="1" t="s">
        <v>5404</v>
      </c>
      <c r="D2571" s="1" t="s">
        <v>5405</v>
      </c>
      <c r="E2571" s="1" t="s">
        <v>5456</v>
      </c>
      <c r="F2571" s="1" t="str">
        <f>HYPERLINK("https://talan.bank.gov.ua/get-user-certificate/J5325G5pTIgrCHvrwhWy","Завантажити сертифікат")</f>
        <v>Завантажити сертифікат</v>
      </c>
    </row>
    <row r="2572" spans="1:6" x14ac:dyDescent="0.3">
      <c r="A2572" s="2">
        <v>2571</v>
      </c>
      <c r="B2572" s="1" t="s">
        <v>5457</v>
      </c>
      <c r="C2572" s="1" t="s">
        <v>5404</v>
      </c>
      <c r="D2572" s="1" t="s">
        <v>5405</v>
      </c>
      <c r="E2572" s="1" t="s">
        <v>5458</v>
      </c>
      <c r="F2572" s="1" t="str">
        <f>HYPERLINK("https://talan.bank.gov.ua/get-user-certificate/J5325kIYR_ivyYQCSu4z","Завантажити сертифікат")</f>
        <v>Завантажити сертифікат</v>
      </c>
    </row>
    <row r="2573" spans="1:6" x14ac:dyDescent="0.3">
      <c r="A2573" s="2">
        <v>2572</v>
      </c>
      <c r="B2573" s="1" t="s">
        <v>5459</v>
      </c>
      <c r="C2573" s="1" t="s">
        <v>5460</v>
      </c>
      <c r="D2573" s="1" t="s">
        <v>5461</v>
      </c>
      <c r="E2573" s="1" t="s">
        <v>5462</v>
      </c>
      <c r="F2573" s="1" t="str">
        <f>HYPERLINK("https://talan.bank.gov.ua/get-user-certificate/J5325zYlrCAyTtqiItqo","Завантажити сертифікат")</f>
        <v>Завантажити сертифікат</v>
      </c>
    </row>
    <row r="2574" spans="1:6" x14ac:dyDescent="0.3">
      <c r="A2574" s="2">
        <v>2573</v>
      </c>
      <c r="B2574" s="1" t="s">
        <v>5463</v>
      </c>
      <c r="C2574" s="1" t="s">
        <v>5460</v>
      </c>
      <c r="D2574" s="1" t="s">
        <v>5461</v>
      </c>
      <c r="E2574" s="1" t="s">
        <v>5464</v>
      </c>
      <c r="F2574" s="1" t="str">
        <f>HYPERLINK("https://talan.bank.gov.ua/get-user-certificate/J5325xC8xnYI9voh1aA5","Завантажити сертифікат")</f>
        <v>Завантажити сертифікат</v>
      </c>
    </row>
    <row r="2575" spans="1:6" x14ac:dyDescent="0.3">
      <c r="A2575" s="2">
        <v>2574</v>
      </c>
      <c r="B2575" s="1" t="s">
        <v>5465</v>
      </c>
      <c r="C2575" s="1" t="s">
        <v>5460</v>
      </c>
      <c r="D2575" s="1" t="s">
        <v>5461</v>
      </c>
      <c r="E2575" s="1" t="s">
        <v>5466</v>
      </c>
      <c r="F2575" s="1" t="str">
        <f>HYPERLINK("https://talan.bank.gov.ua/get-user-certificate/J5325ZCXV7wPah0wuWU5","Завантажити сертифікат")</f>
        <v>Завантажити сертифікат</v>
      </c>
    </row>
    <row r="2576" spans="1:6" x14ac:dyDescent="0.3">
      <c r="A2576" s="2">
        <v>2575</v>
      </c>
      <c r="B2576" s="1" t="s">
        <v>5467</v>
      </c>
      <c r="C2576" s="1" t="s">
        <v>5460</v>
      </c>
      <c r="D2576" s="1" t="s">
        <v>5461</v>
      </c>
      <c r="E2576" s="1" t="s">
        <v>5468</v>
      </c>
      <c r="F2576" s="1" t="str">
        <f>HYPERLINK("https://talan.bank.gov.ua/get-user-certificate/J53258LKnV-pqkEtr9LY","Завантажити сертифікат")</f>
        <v>Завантажити сертифікат</v>
      </c>
    </row>
    <row r="2577" spans="1:6" x14ac:dyDescent="0.3">
      <c r="A2577" s="2">
        <v>2576</v>
      </c>
      <c r="B2577" s="1" t="s">
        <v>5469</v>
      </c>
      <c r="C2577" s="1" t="s">
        <v>5460</v>
      </c>
      <c r="D2577" s="1" t="s">
        <v>5461</v>
      </c>
      <c r="E2577" s="1" t="s">
        <v>5470</v>
      </c>
      <c r="F2577" s="1" t="str">
        <f>HYPERLINK("https://talan.bank.gov.ua/get-user-certificate/J53251srjqPMMNCczmtg","Завантажити сертифікат")</f>
        <v>Завантажити сертифікат</v>
      </c>
    </row>
    <row r="2578" spans="1:6" x14ac:dyDescent="0.3">
      <c r="A2578" s="2">
        <v>2577</v>
      </c>
      <c r="B2578" s="1" t="s">
        <v>5471</v>
      </c>
      <c r="C2578" s="1" t="s">
        <v>5460</v>
      </c>
      <c r="D2578" s="1" t="s">
        <v>5461</v>
      </c>
      <c r="E2578" s="1" t="s">
        <v>5472</v>
      </c>
      <c r="F2578" s="1" t="str">
        <f>HYPERLINK("https://talan.bank.gov.ua/get-user-certificate/J532549Magx04DfaYnmJ","Завантажити сертифікат")</f>
        <v>Завантажити сертифікат</v>
      </c>
    </row>
    <row r="2579" spans="1:6" x14ac:dyDescent="0.3">
      <c r="A2579" s="2">
        <v>2578</v>
      </c>
      <c r="B2579" s="1" t="s">
        <v>5473</v>
      </c>
      <c r="C2579" s="1" t="s">
        <v>5474</v>
      </c>
      <c r="D2579" s="1" t="s">
        <v>5475</v>
      </c>
      <c r="E2579" s="1" t="s">
        <v>5476</v>
      </c>
      <c r="F2579" s="1" t="str">
        <f>HYPERLINK("https://talan.bank.gov.ua/get-user-certificate/J5325_FRQPeLIU0Jaj3i","Завантажити сертифікат")</f>
        <v>Завантажити сертифікат</v>
      </c>
    </row>
    <row r="2580" spans="1:6" x14ac:dyDescent="0.3">
      <c r="A2580" s="2">
        <v>2579</v>
      </c>
      <c r="B2580" s="1" t="s">
        <v>5477</v>
      </c>
      <c r="C2580" s="1" t="s">
        <v>5474</v>
      </c>
      <c r="D2580" s="1" t="s">
        <v>5475</v>
      </c>
      <c r="E2580" s="1" t="s">
        <v>5478</v>
      </c>
      <c r="F2580" s="1" t="str">
        <f>HYPERLINK("https://talan.bank.gov.ua/get-user-certificate/J5325aBzzX5hahDQQ4A-","Завантажити сертифікат")</f>
        <v>Завантажити сертифікат</v>
      </c>
    </row>
    <row r="2581" spans="1:6" x14ac:dyDescent="0.3">
      <c r="A2581" s="2">
        <v>2580</v>
      </c>
      <c r="B2581" s="1" t="s">
        <v>5479</v>
      </c>
      <c r="C2581" s="1" t="s">
        <v>5474</v>
      </c>
      <c r="D2581" s="1" t="s">
        <v>5475</v>
      </c>
      <c r="E2581" s="1" t="s">
        <v>5480</v>
      </c>
      <c r="F2581" s="1" t="str">
        <f>HYPERLINK("https://talan.bank.gov.ua/get-user-certificate/J53257hD3ujic8D-W1Cb","Завантажити сертифікат")</f>
        <v>Завантажити сертифікат</v>
      </c>
    </row>
    <row r="2582" spans="1:6" x14ac:dyDescent="0.3">
      <c r="A2582" s="2">
        <v>2581</v>
      </c>
      <c r="B2582" s="1" t="s">
        <v>5481</v>
      </c>
      <c r="C2582" s="1" t="s">
        <v>5474</v>
      </c>
      <c r="D2582" s="1" t="s">
        <v>5475</v>
      </c>
      <c r="E2582" s="1" t="s">
        <v>5482</v>
      </c>
      <c r="F2582" s="1" t="str">
        <f>HYPERLINK("https://talan.bank.gov.ua/get-user-certificate/J5325LOLHOuDfGDHUD1W","Завантажити сертифікат")</f>
        <v>Завантажити сертифікат</v>
      </c>
    </row>
    <row r="2583" spans="1:6" x14ac:dyDescent="0.3">
      <c r="A2583" s="2">
        <v>2582</v>
      </c>
      <c r="B2583" s="1" t="s">
        <v>5483</v>
      </c>
      <c r="C2583" s="1" t="s">
        <v>5474</v>
      </c>
      <c r="D2583" s="1" t="s">
        <v>5475</v>
      </c>
      <c r="E2583" s="1" t="s">
        <v>5484</v>
      </c>
      <c r="F2583" s="1" t="str">
        <f>HYPERLINK("https://talan.bank.gov.ua/get-user-certificate/J5325q5iaMc0unKk4vSY","Завантажити сертифікат")</f>
        <v>Завантажити сертифікат</v>
      </c>
    </row>
    <row r="2584" spans="1:6" x14ac:dyDescent="0.3">
      <c r="A2584" s="2">
        <v>2583</v>
      </c>
      <c r="B2584" s="1" t="s">
        <v>5485</v>
      </c>
      <c r="C2584" s="1" t="s">
        <v>5474</v>
      </c>
      <c r="D2584" s="1" t="s">
        <v>5475</v>
      </c>
      <c r="E2584" s="1" t="s">
        <v>5486</v>
      </c>
      <c r="F2584" s="1" t="str">
        <f>HYPERLINK("https://talan.bank.gov.ua/get-user-certificate/J5325AlrNNU-vXzMnTX9","Завантажити сертифікат")</f>
        <v>Завантажити сертифікат</v>
      </c>
    </row>
    <row r="2585" spans="1:6" x14ac:dyDescent="0.3">
      <c r="A2585" s="2">
        <v>2584</v>
      </c>
      <c r="B2585" s="1" t="s">
        <v>5487</v>
      </c>
      <c r="C2585" s="1" t="s">
        <v>5474</v>
      </c>
      <c r="D2585" s="1" t="s">
        <v>5475</v>
      </c>
      <c r="E2585" s="1" t="s">
        <v>5488</v>
      </c>
      <c r="F2585" s="1" t="str">
        <f>HYPERLINK("https://talan.bank.gov.ua/get-user-certificate/J5325J_VT-pUpLnvsyDV","Завантажити сертифікат")</f>
        <v>Завантажити сертифікат</v>
      </c>
    </row>
    <row r="2586" spans="1:6" x14ac:dyDescent="0.3">
      <c r="A2586" s="2">
        <v>2585</v>
      </c>
      <c r="B2586" s="1" t="s">
        <v>5489</v>
      </c>
      <c r="C2586" s="1" t="s">
        <v>5474</v>
      </c>
      <c r="D2586" s="1" t="s">
        <v>5475</v>
      </c>
      <c r="E2586" s="1" t="s">
        <v>5490</v>
      </c>
      <c r="F2586" s="1" t="str">
        <f>HYPERLINK("https://talan.bank.gov.ua/get-user-certificate/J5325u2tc-QjWfVdC_Y3","Завантажити сертифікат")</f>
        <v>Завантажити сертифікат</v>
      </c>
    </row>
    <row r="2587" spans="1:6" x14ac:dyDescent="0.3">
      <c r="A2587" s="2">
        <v>2586</v>
      </c>
      <c r="B2587" s="1" t="s">
        <v>5491</v>
      </c>
      <c r="C2587" s="1" t="s">
        <v>5474</v>
      </c>
      <c r="D2587" s="1" t="s">
        <v>5475</v>
      </c>
      <c r="E2587" s="1" t="s">
        <v>5492</v>
      </c>
      <c r="F2587" s="1" t="str">
        <f>HYPERLINK("https://talan.bank.gov.ua/get-user-certificate/J5325onQrLnj5cEa-m8r","Завантажити сертифікат")</f>
        <v>Завантажити сертифікат</v>
      </c>
    </row>
    <row r="2588" spans="1:6" x14ac:dyDescent="0.3">
      <c r="A2588" s="2">
        <v>2587</v>
      </c>
      <c r="B2588" s="1" t="s">
        <v>5493</v>
      </c>
      <c r="C2588" s="1" t="s">
        <v>5474</v>
      </c>
      <c r="D2588" s="1" t="s">
        <v>5475</v>
      </c>
      <c r="E2588" s="1" t="s">
        <v>5494</v>
      </c>
      <c r="F2588" s="1" t="str">
        <f>HYPERLINK("https://talan.bank.gov.ua/get-user-certificate/J53250hAE47jmXqsD1x7","Завантажити сертифікат")</f>
        <v>Завантажити сертифікат</v>
      </c>
    </row>
    <row r="2589" spans="1:6" x14ac:dyDescent="0.3">
      <c r="A2589" s="2">
        <v>2588</v>
      </c>
      <c r="B2589" s="1" t="s">
        <v>5495</v>
      </c>
      <c r="C2589" s="1" t="s">
        <v>5474</v>
      </c>
      <c r="D2589" s="1" t="s">
        <v>5475</v>
      </c>
      <c r="E2589" s="1" t="s">
        <v>5496</v>
      </c>
      <c r="F2589" s="1" t="str">
        <f>HYPERLINK("https://talan.bank.gov.ua/get-user-certificate/J5325lIPNmA3_Nfsjt-G","Завантажити сертифікат")</f>
        <v>Завантажити сертифікат</v>
      </c>
    </row>
    <row r="2590" spans="1:6" x14ac:dyDescent="0.3">
      <c r="A2590" s="2">
        <v>2589</v>
      </c>
      <c r="B2590" s="1" t="s">
        <v>5497</v>
      </c>
      <c r="C2590" s="1" t="s">
        <v>5474</v>
      </c>
      <c r="D2590" s="1" t="s">
        <v>5475</v>
      </c>
      <c r="E2590" s="1" t="s">
        <v>5498</v>
      </c>
      <c r="F2590" s="1" t="str">
        <f>HYPERLINK("https://talan.bank.gov.ua/get-user-certificate/J53254yM9sda9Cqyc_Iu","Завантажити сертифікат")</f>
        <v>Завантажити сертифікат</v>
      </c>
    </row>
    <row r="2591" spans="1:6" x14ac:dyDescent="0.3">
      <c r="A2591" s="2">
        <v>2590</v>
      </c>
      <c r="B2591" s="1" t="s">
        <v>5499</v>
      </c>
      <c r="C2591" s="1" t="s">
        <v>5474</v>
      </c>
      <c r="D2591" s="1" t="s">
        <v>5475</v>
      </c>
      <c r="E2591" s="1" t="s">
        <v>5500</v>
      </c>
      <c r="F2591" s="1" t="str">
        <f>HYPERLINK("https://talan.bank.gov.ua/get-user-certificate/J53257k3QdhT9O3_2zjW","Завантажити сертифікат")</f>
        <v>Завантажити сертифікат</v>
      </c>
    </row>
    <row r="2592" spans="1:6" x14ac:dyDescent="0.3">
      <c r="A2592" s="2">
        <v>2591</v>
      </c>
      <c r="B2592" s="1" t="s">
        <v>5501</v>
      </c>
      <c r="C2592" s="1" t="s">
        <v>5474</v>
      </c>
      <c r="D2592" s="1" t="s">
        <v>5475</v>
      </c>
      <c r="E2592" s="1" t="s">
        <v>5502</v>
      </c>
      <c r="F2592" s="1" t="str">
        <f>HYPERLINK("https://talan.bank.gov.ua/get-user-certificate/J5325u2AMb9jkJlqsahC","Завантажити сертифікат")</f>
        <v>Завантажити сертифікат</v>
      </c>
    </row>
    <row r="2593" spans="1:6" x14ac:dyDescent="0.3">
      <c r="A2593" s="2">
        <v>2592</v>
      </c>
      <c r="B2593" s="1" t="s">
        <v>5503</v>
      </c>
      <c r="C2593" s="1" t="s">
        <v>5474</v>
      </c>
      <c r="D2593" s="1" t="s">
        <v>5475</v>
      </c>
      <c r="E2593" s="1" t="s">
        <v>5504</v>
      </c>
      <c r="F2593" s="1" t="str">
        <f>HYPERLINK("https://talan.bank.gov.ua/get-user-certificate/J53254TqTZW5vNGa5Zyt","Завантажити сертифікат")</f>
        <v>Завантажити сертифікат</v>
      </c>
    </row>
    <row r="2594" spans="1:6" x14ac:dyDescent="0.3">
      <c r="A2594" s="2">
        <v>2593</v>
      </c>
      <c r="B2594" s="1" t="s">
        <v>5505</v>
      </c>
      <c r="C2594" s="1" t="s">
        <v>5474</v>
      </c>
      <c r="D2594" s="1" t="s">
        <v>5475</v>
      </c>
      <c r="E2594" s="1" t="s">
        <v>5506</v>
      </c>
      <c r="F2594" s="1" t="str">
        <f>HYPERLINK("https://talan.bank.gov.ua/get-user-certificate/J5325MzjWrKX2kZjak3u","Завантажити сертифікат")</f>
        <v>Завантажити сертифікат</v>
      </c>
    </row>
    <row r="2595" spans="1:6" x14ac:dyDescent="0.3">
      <c r="A2595" s="2">
        <v>2594</v>
      </c>
      <c r="B2595" s="1" t="s">
        <v>5507</v>
      </c>
      <c r="C2595" s="1" t="s">
        <v>5474</v>
      </c>
      <c r="D2595" s="1" t="s">
        <v>5475</v>
      </c>
      <c r="E2595" s="1" t="s">
        <v>5508</v>
      </c>
      <c r="F2595" s="1" t="str">
        <f>HYPERLINK("https://talan.bank.gov.ua/get-user-certificate/J5325z5IYvhPrjnCNEBe","Завантажити сертифікат")</f>
        <v>Завантажити сертифікат</v>
      </c>
    </row>
    <row r="2596" spans="1:6" ht="28.8" x14ac:dyDescent="0.3">
      <c r="A2596" s="2">
        <v>2595</v>
      </c>
      <c r="B2596" s="1" t="s">
        <v>5509</v>
      </c>
      <c r="C2596" s="1" t="s">
        <v>5474</v>
      </c>
      <c r="D2596" s="1" t="s">
        <v>5475</v>
      </c>
      <c r="E2596" s="1" t="s">
        <v>5510</v>
      </c>
      <c r="F2596" s="1" t="str">
        <f>HYPERLINK("https://talan.bank.gov.ua/get-user-certificate/J5325zh09fLWalm6TNpK","Завантажити сертифікат")</f>
        <v>Завантажити сертифікат</v>
      </c>
    </row>
    <row r="2597" spans="1:6" x14ac:dyDescent="0.3">
      <c r="A2597" s="2">
        <v>2596</v>
      </c>
      <c r="B2597" s="1" t="s">
        <v>5511</v>
      </c>
      <c r="C2597" s="1" t="s">
        <v>5474</v>
      </c>
      <c r="D2597" s="1" t="s">
        <v>5475</v>
      </c>
      <c r="E2597" s="1" t="s">
        <v>5512</v>
      </c>
      <c r="F2597" s="1" t="str">
        <f>HYPERLINK("https://talan.bank.gov.ua/get-user-certificate/J5325J3BCJhwEr_cyNZx","Завантажити сертифікат")</f>
        <v>Завантажити сертифікат</v>
      </c>
    </row>
    <row r="2598" spans="1:6" ht="28.8" x14ac:dyDescent="0.3">
      <c r="A2598" s="2">
        <v>2597</v>
      </c>
      <c r="B2598" s="1" t="s">
        <v>5513</v>
      </c>
      <c r="C2598" s="1" t="s">
        <v>5474</v>
      </c>
      <c r="D2598" s="1" t="s">
        <v>5475</v>
      </c>
      <c r="E2598" s="1" t="s">
        <v>5514</v>
      </c>
      <c r="F2598" s="1" t="str">
        <f>HYPERLINK("https://talan.bank.gov.ua/get-user-certificate/J5325YgBcCU79lzHkyBr","Завантажити сертифікат")</f>
        <v>Завантажити сертифікат</v>
      </c>
    </row>
    <row r="2599" spans="1:6" x14ac:dyDescent="0.3">
      <c r="A2599" s="2">
        <v>2598</v>
      </c>
      <c r="B2599" s="1" t="s">
        <v>5515</v>
      </c>
      <c r="C2599" s="1" t="s">
        <v>5474</v>
      </c>
      <c r="D2599" s="1" t="s">
        <v>5475</v>
      </c>
      <c r="E2599" s="1" t="s">
        <v>5516</v>
      </c>
      <c r="F2599" s="1" t="str">
        <f>HYPERLINK("https://talan.bank.gov.ua/get-user-certificate/J5325_3kpV6BfRCc6Aye","Завантажити сертифікат")</f>
        <v>Завантажити сертифікат</v>
      </c>
    </row>
    <row r="2600" spans="1:6" x14ac:dyDescent="0.3">
      <c r="A2600" s="2">
        <v>2599</v>
      </c>
      <c r="B2600" s="1" t="s">
        <v>5517</v>
      </c>
      <c r="C2600" s="1" t="s">
        <v>5474</v>
      </c>
      <c r="D2600" s="1" t="s">
        <v>5475</v>
      </c>
      <c r="E2600" s="1" t="s">
        <v>5518</v>
      </c>
      <c r="F2600" s="1" t="str">
        <f>HYPERLINK("https://talan.bank.gov.ua/get-user-certificate/J5325LUgxF4Bnn---js7","Завантажити сертифікат")</f>
        <v>Завантажити сертифікат</v>
      </c>
    </row>
    <row r="2601" spans="1:6" x14ac:dyDescent="0.3">
      <c r="A2601" s="2">
        <v>2600</v>
      </c>
      <c r="B2601" s="1" t="s">
        <v>5519</v>
      </c>
      <c r="C2601" s="1" t="s">
        <v>5474</v>
      </c>
      <c r="D2601" s="1" t="s">
        <v>5475</v>
      </c>
      <c r="E2601" s="1" t="s">
        <v>5520</v>
      </c>
      <c r="F2601" s="1" t="str">
        <f>HYPERLINK("https://talan.bank.gov.ua/get-user-certificate/J5325lvaEVsWFTDJQmjT","Завантажити сертифікат")</f>
        <v>Завантажити сертифікат</v>
      </c>
    </row>
    <row r="2602" spans="1:6" x14ac:dyDescent="0.3">
      <c r="A2602" s="2">
        <v>2601</v>
      </c>
      <c r="B2602" s="1" t="s">
        <v>5521</v>
      </c>
      <c r="C2602" s="1" t="s">
        <v>5474</v>
      </c>
      <c r="D2602" s="1" t="s">
        <v>5475</v>
      </c>
      <c r="E2602" s="1" t="s">
        <v>5522</v>
      </c>
      <c r="F2602" s="1" t="str">
        <f>HYPERLINK("https://talan.bank.gov.ua/get-user-certificate/J5325WGD9vQhExmY92ED","Завантажити сертифікат")</f>
        <v>Завантажити сертифікат</v>
      </c>
    </row>
    <row r="2603" spans="1:6" x14ac:dyDescent="0.3">
      <c r="A2603" s="2">
        <v>2602</v>
      </c>
      <c r="B2603" s="1" t="s">
        <v>5523</v>
      </c>
      <c r="C2603" s="1" t="s">
        <v>5524</v>
      </c>
      <c r="D2603" s="1" t="s">
        <v>5525</v>
      </c>
      <c r="E2603" s="1" t="s">
        <v>5526</v>
      </c>
      <c r="F2603" s="1" t="str">
        <f>HYPERLINK("https://talan.bank.gov.ua/get-user-certificate/J5325W4CV3M4LxuujRqm","Завантажити сертифікат")</f>
        <v>Завантажити сертифікат</v>
      </c>
    </row>
    <row r="2604" spans="1:6" x14ac:dyDescent="0.3">
      <c r="A2604" s="2">
        <v>2603</v>
      </c>
      <c r="B2604" s="1" t="s">
        <v>5527</v>
      </c>
      <c r="C2604" s="1" t="s">
        <v>5524</v>
      </c>
      <c r="D2604" s="1" t="s">
        <v>5525</v>
      </c>
      <c r="E2604" s="1" t="s">
        <v>5528</v>
      </c>
      <c r="F2604" s="1" t="str">
        <f>HYPERLINK("https://talan.bank.gov.ua/get-user-certificate/J5325ac2g_CHRCZvltea","Завантажити сертифікат")</f>
        <v>Завантажити сертифікат</v>
      </c>
    </row>
    <row r="2605" spans="1:6" x14ac:dyDescent="0.3">
      <c r="A2605" s="2">
        <v>2604</v>
      </c>
      <c r="B2605" s="1" t="s">
        <v>5529</v>
      </c>
      <c r="C2605" s="1" t="s">
        <v>5524</v>
      </c>
      <c r="D2605" s="1" t="s">
        <v>5525</v>
      </c>
      <c r="E2605" s="1" t="s">
        <v>5530</v>
      </c>
      <c r="F2605" s="1" t="str">
        <f>HYPERLINK("https://talan.bank.gov.ua/get-user-certificate/J5325bBrwMaBAoaSG7cv","Завантажити сертифікат")</f>
        <v>Завантажити сертифікат</v>
      </c>
    </row>
    <row r="2606" spans="1:6" x14ac:dyDescent="0.3">
      <c r="A2606" s="2">
        <v>2605</v>
      </c>
      <c r="B2606" s="1" t="s">
        <v>5531</v>
      </c>
      <c r="C2606" s="1" t="s">
        <v>5524</v>
      </c>
      <c r="D2606" s="1" t="s">
        <v>5525</v>
      </c>
      <c r="E2606" s="1" t="s">
        <v>5532</v>
      </c>
      <c r="F2606" s="1" t="str">
        <f>HYPERLINK("https://talan.bank.gov.ua/get-user-certificate/J5325lAsDhKgGnb6HwKk","Завантажити сертифікат")</f>
        <v>Завантажити сертифікат</v>
      </c>
    </row>
    <row r="2607" spans="1:6" x14ac:dyDescent="0.3">
      <c r="A2607" s="2">
        <v>2606</v>
      </c>
      <c r="B2607" s="1" t="s">
        <v>5533</v>
      </c>
      <c r="C2607" s="1" t="s">
        <v>5524</v>
      </c>
      <c r="D2607" s="1" t="s">
        <v>5525</v>
      </c>
      <c r="E2607" s="1" t="s">
        <v>5534</v>
      </c>
      <c r="F2607" s="1" t="str">
        <f>HYPERLINK("https://talan.bank.gov.ua/get-user-certificate/J5325CLDN8_sjasWsttv","Завантажити сертифікат")</f>
        <v>Завантажити сертифікат</v>
      </c>
    </row>
    <row r="2608" spans="1:6" x14ac:dyDescent="0.3">
      <c r="A2608" s="2">
        <v>2607</v>
      </c>
      <c r="B2608" s="1" t="s">
        <v>5535</v>
      </c>
      <c r="C2608" s="1" t="s">
        <v>5524</v>
      </c>
      <c r="D2608" s="1" t="s">
        <v>5525</v>
      </c>
      <c r="E2608" s="1" t="s">
        <v>5536</v>
      </c>
      <c r="F2608" s="1" t="str">
        <f>HYPERLINK("https://talan.bank.gov.ua/get-user-certificate/J53259Is6dbtyTnwwrJf","Завантажити сертифікат")</f>
        <v>Завантажити сертифікат</v>
      </c>
    </row>
    <row r="2609" spans="1:6" x14ac:dyDescent="0.3">
      <c r="A2609" s="2">
        <v>2608</v>
      </c>
      <c r="B2609" s="1" t="s">
        <v>5537</v>
      </c>
      <c r="C2609" s="1" t="s">
        <v>5524</v>
      </c>
      <c r="D2609" s="1" t="s">
        <v>5525</v>
      </c>
      <c r="E2609" s="1" t="s">
        <v>5538</v>
      </c>
      <c r="F2609" s="1" t="str">
        <f>HYPERLINK("https://talan.bank.gov.ua/get-user-certificate/J53256JGWyKSt21RUW8L","Завантажити сертифікат")</f>
        <v>Завантажити сертифікат</v>
      </c>
    </row>
    <row r="2610" spans="1:6" x14ac:dyDescent="0.3">
      <c r="A2610" s="2">
        <v>2609</v>
      </c>
      <c r="B2610" s="1" t="s">
        <v>5539</v>
      </c>
      <c r="C2610" s="1" t="s">
        <v>5524</v>
      </c>
      <c r="D2610" s="1" t="s">
        <v>5525</v>
      </c>
      <c r="E2610" s="1" t="s">
        <v>5540</v>
      </c>
      <c r="F2610" s="1" t="str">
        <f>HYPERLINK("https://talan.bank.gov.ua/get-user-certificate/J532514qCM9Tun0gljPz","Завантажити сертифікат")</f>
        <v>Завантажити сертифікат</v>
      </c>
    </row>
    <row r="2611" spans="1:6" x14ac:dyDescent="0.3">
      <c r="A2611" s="2">
        <v>2610</v>
      </c>
      <c r="B2611" s="1" t="s">
        <v>5541</v>
      </c>
      <c r="C2611" s="1" t="s">
        <v>5524</v>
      </c>
      <c r="D2611" s="1" t="s">
        <v>5525</v>
      </c>
      <c r="E2611" s="1" t="s">
        <v>5542</v>
      </c>
      <c r="F2611" s="1" t="str">
        <f>HYPERLINK("https://talan.bank.gov.ua/get-user-certificate/J5325k39vWk7oRU6CQ9Y","Завантажити сертифікат")</f>
        <v>Завантажити сертифікат</v>
      </c>
    </row>
    <row r="2612" spans="1:6" x14ac:dyDescent="0.3">
      <c r="A2612" s="2">
        <v>2611</v>
      </c>
      <c r="B2612" s="1" t="s">
        <v>5543</v>
      </c>
      <c r="C2612" s="1" t="s">
        <v>5524</v>
      </c>
      <c r="D2612" s="1" t="s">
        <v>5525</v>
      </c>
      <c r="E2612" s="1" t="s">
        <v>5544</v>
      </c>
      <c r="F2612" s="1" t="str">
        <f>HYPERLINK("https://talan.bank.gov.ua/get-user-certificate/J5325484ntOdqENqiocC","Завантажити сертифікат")</f>
        <v>Завантажити сертифікат</v>
      </c>
    </row>
    <row r="2613" spans="1:6" x14ac:dyDescent="0.3">
      <c r="A2613" s="2">
        <v>2612</v>
      </c>
      <c r="B2613" s="1" t="s">
        <v>5545</v>
      </c>
      <c r="C2613" s="1" t="s">
        <v>5524</v>
      </c>
      <c r="D2613" s="1" t="s">
        <v>5525</v>
      </c>
      <c r="E2613" s="1" t="s">
        <v>5546</v>
      </c>
      <c r="F2613" s="1" t="str">
        <f>HYPERLINK("https://talan.bank.gov.ua/get-user-certificate/J5325QfpL76U4XdA_nOv","Завантажити сертифікат")</f>
        <v>Завантажити сертифікат</v>
      </c>
    </row>
    <row r="2614" spans="1:6" x14ac:dyDescent="0.3">
      <c r="A2614" s="2">
        <v>2613</v>
      </c>
      <c r="B2614" s="1" t="s">
        <v>5547</v>
      </c>
      <c r="C2614" s="1" t="s">
        <v>5524</v>
      </c>
      <c r="D2614" s="1" t="s">
        <v>5525</v>
      </c>
      <c r="E2614" s="1" t="s">
        <v>5548</v>
      </c>
      <c r="F2614" s="1" t="str">
        <f>HYPERLINK("https://talan.bank.gov.ua/get-user-certificate/J5325xghgl5kH7GINraV","Завантажити сертифікат")</f>
        <v>Завантажити сертифікат</v>
      </c>
    </row>
    <row r="2615" spans="1:6" ht="43.2" x14ac:dyDescent="0.3">
      <c r="A2615" s="2">
        <v>2614</v>
      </c>
      <c r="B2615" s="1" t="s">
        <v>5549</v>
      </c>
      <c r="C2615" s="1" t="s">
        <v>5550</v>
      </c>
      <c r="D2615" s="1" t="s">
        <v>5551</v>
      </c>
      <c r="E2615" s="1" t="s">
        <v>5552</v>
      </c>
      <c r="F2615" s="1" t="str">
        <f>HYPERLINK("https://talan.bank.gov.ua/get-user-certificate/J5325fXM2wAYJ84LX-O5","Завантажити сертифікат")</f>
        <v>Завантажити сертифікат</v>
      </c>
    </row>
    <row r="2616" spans="1:6" ht="43.2" x14ac:dyDescent="0.3">
      <c r="A2616" s="2">
        <v>2615</v>
      </c>
      <c r="B2616" s="1" t="s">
        <v>5553</v>
      </c>
      <c r="C2616" s="1" t="s">
        <v>5550</v>
      </c>
      <c r="D2616" s="1" t="s">
        <v>5551</v>
      </c>
      <c r="E2616" s="1" t="s">
        <v>5554</v>
      </c>
      <c r="F2616" s="1" t="str">
        <f>HYPERLINK("https://talan.bank.gov.ua/get-user-certificate/J5325bEh5af4NzuPXYNv","Завантажити сертифікат")</f>
        <v>Завантажити сертифікат</v>
      </c>
    </row>
    <row r="2617" spans="1:6" ht="43.2" x14ac:dyDescent="0.3">
      <c r="A2617" s="2">
        <v>2616</v>
      </c>
      <c r="B2617" s="1" t="s">
        <v>5555</v>
      </c>
      <c r="C2617" s="1" t="s">
        <v>5550</v>
      </c>
      <c r="D2617" s="1" t="s">
        <v>5551</v>
      </c>
      <c r="E2617" s="1" t="s">
        <v>5556</v>
      </c>
      <c r="F2617" s="1" t="str">
        <f>HYPERLINK("https://talan.bank.gov.ua/get-user-certificate/J5325OWgSITxvv7Qm3ZO","Завантажити сертифікат")</f>
        <v>Завантажити сертифікат</v>
      </c>
    </row>
    <row r="2618" spans="1:6" ht="43.2" x14ac:dyDescent="0.3">
      <c r="A2618" s="2">
        <v>2617</v>
      </c>
      <c r="B2618" s="1" t="s">
        <v>5557</v>
      </c>
      <c r="C2618" s="1" t="s">
        <v>5550</v>
      </c>
      <c r="D2618" s="1" t="s">
        <v>5551</v>
      </c>
      <c r="E2618" s="1" t="s">
        <v>5558</v>
      </c>
      <c r="F2618" s="1" t="str">
        <f>HYPERLINK("https://talan.bank.gov.ua/get-user-certificate/J5325YzSbhW1INwGcXmN","Завантажити сертифікат")</f>
        <v>Завантажити сертифікат</v>
      </c>
    </row>
    <row r="2619" spans="1:6" ht="43.2" x14ac:dyDescent="0.3">
      <c r="A2619" s="2">
        <v>2618</v>
      </c>
      <c r="B2619" s="1" t="s">
        <v>5559</v>
      </c>
      <c r="C2619" s="1" t="s">
        <v>5550</v>
      </c>
      <c r="D2619" s="1" t="s">
        <v>5551</v>
      </c>
      <c r="E2619" s="1" t="s">
        <v>5560</v>
      </c>
      <c r="F2619" s="1" t="str">
        <f>HYPERLINK("https://talan.bank.gov.ua/get-user-certificate/J5325iP2xkSFJumIoZ-X","Завантажити сертифікат")</f>
        <v>Завантажити сертифікат</v>
      </c>
    </row>
    <row r="2620" spans="1:6" ht="43.2" x14ac:dyDescent="0.3">
      <c r="A2620" s="2">
        <v>2619</v>
      </c>
      <c r="B2620" s="1" t="s">
        <v>5561</v>
      </c>
      <c r="C2620" s="1" t="s">
        <v>5550</v>
      </c>
      <c r="D2620" s="1" t="s">
        <v>5551</v>
      </c>
      <c r="E2620" s="1" t="s">
        <v>5562</v>
      </c>
      <c r="F2620" s="1" t="str">
        <f>HYPERLINK("https://talan.bank.gov.ua/get-user-certificate/J53252Gg7Tbs6uFQZ_Pk","Завантажити сертифікат")</f>
        <v>Завантажити сертифікат</v>
      </c>
    </row>
    <row r="2621" spans="1:6" ht="28.8" x14ac:dyDescent="0.3">
      <c r="A2621" s="2">
        <v>2620</v>
      </c>
      <c r="B2621" s="1" t="s">
        <v>5563</v>
      </c>
      <c r="C2621" s="1" t="s">
        <v>5564</v>
      </c>
      <c r="D2621" s="1" t="s">
        <v>5565</v>
      </c>
      <c r="E2621" s="1" t="s">
        <v>5566</v>
      </c>
      <c r="F2621" s="1" t="str">
        <f>HYPERLINK("https://talan.bank.gov.ua/get-user-certificate/J5325nZeVMFSQw7XOLxm","Завантажити сертифікат")</f>
        <v>Завантажити сертифікат</v>
      </c>
    </row>
    <row r="2622" spans="1:6" ht="28.8" x14ac:dyDescent="0.3">
      <c r="A2622" s="2">
        <v>2621</v>
      </c>
      <c r="B2622" s="1" t="s">
        <v>5567</v>
      </c>
      <c r="C2622" s="1" t="s">
        <v>5564</v>
      </c>
      <c r="D2622" s="1" t="s">
        <v>5565</v>
      </c>
      <c r="E2622" s="1" t="s">
        <v>5568</v>
      </c>
      <c r="F2622" s="1" t="str">
        <f>HYPERLINK("https://talan.bank.gov.ua/get-user-certificate/J53251nIH7-npg5gkEYb","Завантажити сертифікат")</f>
        <v>Завантажити сертифікат</v>
      </c>
    </row>
    <row r="2623" spans="1:6" ht="28.8" x14ac:dyDescent="0.3">
      <c r="A2623" s="2">
        <v>2622</v>
      </c>
      <c r="B2623" s="1" t="s">
        <v>5569</v>
      </c>
      <c r="C2623" s="1" t="s">
        <v>5564</v>
      </c>
      <c r="D2623" s="1" t="s">
        <v>5565</v>
      </c>
      <c r="E2623" s="1" t="s">
        <v>5570</v>
      </c>
      <c r="F2623" s="1" t="str">
        <f>HYPERLINK("https://talan.bank.gov.ua/get-user-certificate/J5325OriI702tdcxMjrH","Завантажити сертифікат")</f>
        <v>Завантажити сертифікат</v>
      </c>
    </row>
    <row r="2624" spans="1:6" ht="28.8" x14ac:dyDescent="0.3">
      <c r="A2624" s="2">
        <v>2623</v>
      </c>
      <c r="B2624" s="1" t="s">
        <v>5571</v>
      </c>
      <c r="C2624" s="1" t="s">
        <v>5564</v>
      </c>
      <c r="D2624" s="1" t="s">
        <v>5565</v>
      </c>
      <c r="E2624" s="1" t="s">
        <v>5572</v>
      </c>
      <c r="F2624" s="1" t="str">
        <f>HYPERLINK("https://talan.bank.gov.ua/get-user-certificate/J5325NKcgioeOp575jr0","Завантажити сертифікат")</f>
        <v>Завантажити сертифікат</v>
      </c>
    </row>
    <row r="2625" spans="1:6" ht="28.8" x14ac:dyDescent="0.3">
      <c r="A2625" s="2">
        <v>2624</v>
      </c>
      <c r="B2625" s="1" t="s">
        <v>5573</v>
      </c>
      <c r="C2625" s="1" t="s">
        <v>5564</v>
      </c>
      <c r="D2625" s="1" t="s">
        <v>5565</v>
      </c>
      <c r="E2625" s="1" t="s">
        <v>5574</v>
      </c>
      <c r="F2625" s="1" t="str">
        <f>HYPERLINK("https://talan.bank.gov.ua/get-user-certificate/J5325KOs-SpEw_Xluqie","Завантажити сертифікат")</f>
        <v>Завантажити сертифікат</v>
      </c>
    </row>
    <row r="2626" spans="1:6" ht="28.8" x14ac:dyDescent="0.3">
      <c r="A2626" s="2">
        <v>2625</v>
      </c>
      <c r="B2626" s="1" t="s">
        <v>5575</v>
      </c>
      <c r="C2626" s="1" t="s">
        <v>5576</v>
      </c>
      <c r="D2626" s="1" t="s">
        <v>5577</v>
      </c>
      <c r="E2626" s="1" t="s">
        <v>5578</v>
      </c>
      <c r="F2626" s="1" t="str">
        <f>HYPERLINK("https://talan.bank.gov.ua/get-user-certificate/J5325lZQ0nS6L21EWg1J","Завантажити сертифікат")</f>
        <v>Завантажити сертифікат</v>
      </c>
    </row>
    <row r="2627" spans="1:6" ht="28.8" x14ac:dyDescent="0.3">
      <c r="A2627" s="2">
        <v>2626</v>
      </c>
      <c r="B2627" s="1" t="s">
        <v>5579</v>
      </c>
      <c r="C2627" s="1" t="s">
        <v>5576</v>
      </c>
      <c r="D2627" s="1" t="s">
        <v>5577</v>
      </c>
      <c r="E2627" s="1" t="s">
        <v>5580</v>
      </c>
      <c r="F2627" s="1" t="str">
        <f>HYPERLINK("https://talan.bank.gov.ua/get-user-certificate/J53253W1_FKrbB2q-p_5","Завантажити сертифікат")</f>
        <v>Завантажити сертифікат</v>
      </c>
    </row>
    <row r="2628" spans="1:6" ht="28.8" x14ac:dyDescent="0.3">
      <c r="A2628" s="2">
        <v>2627</v>
      </c>
      <c r="B2628" s="1" t="s">
        <v>5581</v>
      </c>
      <c r="C2628" s="1" t="s">
        <v>5576</v>
      </c>
      <c r="D2628" s="1" t="s">
        <v>5577</v>
      </c>
      <c r="E2628" s="1" t="s">
        <v>5582</v>
      </c>
      <c r="F2628" s="1" t="str">
        <f>HYPERLINK("https://talan.bank.gov.ua/get-user-certificate/J5325tCrpXq2WOkLmzud","Завантажити сертифікат")</f>
        <v>Завантажити сертифікат</v>
      </c>
    </row>
    <row r="2629" spans="1:6" ht="28.8" x14ac:dyDescent="0.3">
      <c r="A2629" s="2">
        <v>2628</v>
      </c>
      <c r="B2629" s="1" t="s">
        <v>5583</v>
      </c>
      <c r="C2629" s="1" t="s">
        <v>5576</v>
      </c>
      <c r="D2629" s="1" t="s">
        <v>5577</v>
      </c>
      <c r="E2629" s="1" t="s">
        <v>5584</v>
      </c>
      <c r="F2629" s="1" t="str">
        <f>HYPERLINK("https://talan.bank.gov.ua/get-user-certificate/J5325VJfpvWKC-4VxBM7","Завантажити сертифікат")</f>
        <v>Завантажити сертифікат</v>
      </c>
    </row>
    <row r="2630" spans="1:6" ht="28.8" x14ac:dyDescent="0.3">
      <c r="A2630" s="2">
        <v>2629</v>
      </c>
      <c r="B2630" s="1" t="s">
        <v>5585</v>
      </c>
      <c r="C2630" s="1" t="s">
        <v>5576</v>
      </c>
      <c r="D2630" s="1" t="s">
        <v>5577</v>
      </c>
      <c r="E2630" s="1" t="s">
        <v>5586</v>
      </c>
      <c r="F2630" s="1" t="str">
        <f>HYPERLINK("https://talan.bank.gov.ua/get-user-certificate/J5325ObaIfJ4PoZjCHP7","Завантажити сертифікат")</f>
        <v>Завантажити сертифікат</v>
      </c>
    </row>
    <row r="2631" spans="1:6" ht="28.8" x14ac:dyDescent="0.3">
      <c r="A2631" s="2">
        <v>2630</v>
      </c>
      <c r="B2631" s="1" t="s">
        <v>5587</v>
      </c>
      <c r="C2631" s="1" t="s">
        <v>5576</v>
      </c>
      <c r="D2631" s="1" t="s">
        <v>5577</v>
      </c>
      <c r="E2631" s="1" t="s">
        <v>5588</v>
      </c>
      <c r="F2631" s="1" t="str">
        <f>HYPERLINK("https://talan.bank.gov.ua/get-user-certificate/J5325RahBOnRX33_ClSM","Завантажити сертифікат")</f>
        <v>Завантажити сертифікат</v>
      </c>
    </row>
    <row r="2632" spans="1:6" ht="28.8" x14ac:dyDescent="0.3">
      <c r="A2632" s="2">
        <v>2631</v>
      </c>
      <c r="B2632" s="1" t="s">
        <v>5589</v>
      </c>
      <c r="C2632" s="1" t="s">
        <v>5576</v>
      </c>
      <c r="D2632" s="1" t="s">
        <v>5577</v>
      </c>
      <c r="E2632" s="1" t="s">
        <v>5590</v>
      </c>
      <c r="F2632" s="1" t="str">
        <f>HYPERLINK("https://talan.bank.gov.ua/get-user-certificate/J5325JDiAMsuWC1ylp4i","Завантажити сертифікат")</f>
        <v>Завантажити сертифікат</v>
      </c>
    </row>
    <row r="2633" spans="1:6" ht="28.8" x14ac:dyDescent="0.3">
      <c r="A2633" s="2">
        <v>2632</v>
      </c>
      <c r="B2633" s="1" t="s">
        <v>5591</v>
      </c>
      <c r="C2633" s="1" t="s">
        <v>5576</v>
      </c>
      <c r="D2633" s="1" t="s">
        <v>5577</v>
      </c>
      <c r="E2633" s="1" t="s">
        <v>5592</v>
      </c>
      <c r="F2633" s="1" t="str">
        <f>HYPERLINK("https://talan.bank.gov.ua/get-user-certificate/J5325ppY-5239FxsJZnz","Завантажити сертифікат")</f>
        <v>Завантажити сертифікат</v>
      </c>
    </row>
    <row r="2634" spans="1:6" ht="28.8" x14ac:dyDescent="0.3">
      <c r="A2634" s="2">
        <v>2633</v>
      </c>
      <c r="B2634" s="1" t="s">
        <v>5593</v>
      </c>
      <c r="C2634" s="1" t="s">
        <v>5576</v>
      </c>
      <c r="D2634" s="1" t="s">
        <v>5577</v>
      </c>
      <c r="E2634" s="1" t="s">
        <v>5594</v>
      </c>
      <c r="F2634" s="1" t="str">
        <f>HYPERLINK("https://talan.bank.gov.ua/get-user-certificate/J5325VA9L5KNWx63OVey","Завантажити сертифікат")</f>
        <v>Завантажити сертифікат</v>
      </c>
    </row>
    <row r="2635" spans="1:6" ht="28.8" x14ac:dyDescent="0.3">
      <c r="A2635" s="2">
        <v>2634</v>
      </c>
      <c r="B2635" s="1" t="s">
        <v>5595</v>
      </c>
      <c r="C2635" s="1" t="s">
        <v>5576</v>
      </c>
      <c r="D2635" s="1" t="s">
        <v>5577</v>
      </c>
      <c r="E2635" s="1" t="s">
        <v>5596</v>
      </c>
      <c r="F2635" s="1" t="str">
        <f>HYPERLINK("https://talan.bank.gov.ua/get-user-certificate/J5325wJigl9D9eXEjo4Q","Завантажити сертифікат")</f>
        <v>Завантажити сертифікат</v>
      </c>
    </row>
    <row r="2636" spans="1:6" ht="28.8" x14ac:dyDescent="0.3">
      <c r="A2636" s="2">
        <v>2635</v>
      </c>
      <c r="B2636" s="1" t="s">
        <v>5597</v>
      </c>
      <c r="C2636" s="1" t="s">
        <v>5576</v>
      </c>
      <c r="D2636" s="1" t="s">
        <v>5577</v>
      </c>
      <c r="E2636" s="1" t="s">
        <v>5598</v>
      </c>
      <c r="F2636" s="1" t="str">
        <f>HYPERLINK("https://talan.bank.gov.ua/get-user-certificate/J5325UtHy6jQ79jvokXr","Завантажити сертифікат")</f>
        <v>Завантажити сертифікат</v>
      </c>
    </row>
    <row r="2637" spans="1:6" ht="28.8" x14ac:dyDescent="0.3">
      <c r="A2637" s="2">
        <v>2636</v>
      </c>
      <c r="B2637" s="1" t="s">
        <v>5599</v>
      </c>
      <c r="C2637" s="1" t="s">
        <v>5600</v>
      </c>
      <c r="D2637" s="1" t="s">
        <v>5601</v>
      </c>
      <c r="E2637" s="1" t="s">
        <v>5602</v>
      </c>
      <c r="F2637" s="1" t="str">
        <f>HYPERLINK("https://talan.bank.gov.ua/get-user-certificate/J5325TYfhQ_YsegNvjD2","Завантажити сертифікат")</f>
        <v>Завантажити сертифікат</v>
      </c>
    </row>
    <row r="2638" spans="1:6" ht="28.8" x14ac:dyDescent="0.3">
      <c r="A2638" s="2">
        <v>2637</v>
      </c>
      <c r="B2638" s="1" t="s">
        <v>5603</v>
      </c>
      <c r="C2638" s="1" t="s">
        <v>5600</v>
      </c>
      <c r="D2638" s="1" t="s">
        <v>5601</v>
      </c>
      <c r="E2638" s="1" t="s">
        <v>5604</v>
      </c>
      <c r="F2638" s="1" t="str">
        <f>HYPERLINK("https://talan.bank.gov.ua/get-user-certificate/J5325mgRxA8iATjxqeC6","Завантажити сертифікат")</f>
        <v>Завантажити сертифікат</v>
      </c>
    </row>
    <row r="2639" spans="1:6" ht="28.8" x14ac:dyDescent="0.3">
      <c r="A2639" s="2">
        <v>2638</v>
      </c>
      <c r="B2639" s="1" t="s">
        <v>5605</v>
      </c>
      <c r="C2639" s="1" t="s">
        <v>5600</v>
      </c>
      <c r="D2639" s="1" t="s">
        <v>5601</v>
      </c>
      <c r="E2639" s="1" t="s">
        <v>5606</v>
      </c>
      <c r="F2639" s="1" t="str">
        <f>HYPERLINK("https://talan.bank.gov.ua/get-user-certificate/J5325H9EWFhAp1WB947u","Завантажити сертифікат")</f>
        <v>Завантажити сертифікат</v>
      </c>
    </row>
    <row r="2640" spans="1:6" ht="28.8" x14ac:dyDescent="0.3">
      <c r="A2640" s="2">
        <v>2639</v>
      </c>
      <c r="B2640" s="1" t="s">
        <v>5607</v>
      </c>
      <c r="C2640" s="1" t="s">
        <v>5600</v>
      </c>
      <c r="D2640" s="1" t="s">
        <v>5601</v>
      </c>
      <c r="E2640" s="1" t="s">
        <v>5608</v>
      </c>
      <c r="F2640" s="1" t="str">
        <f>HYPERLINK("https://talan.bank.gov.ua/get-user-certificate/J5325Ec_E2Tev-6qEPk0","Завантажити сертифікат")</f>
        <v>Завантажити сертифікат</v>
      </c>
    </row>
    <row r="2641" spans="1:6" ht="28.8" x14ac:dyDescent="0.3">
      <c r="A2641" s="2">
        <v>2640</v>
      </c>
      <c r="B2641" s="1" t="s">
        <v>5609</v>
      </c>
      <c r="C2641" s="1" t="s">
        <v>5600</v>
      </c>
      <c r="D2641" s="1" t="s">
        <v>5601</v>
      </c>
      <c r="E2641" s="1" t="s">
        <v>5610</v>
      </c>
      <c r="F2641" s="1" t="str">
        <f>HYPERLINK("https://talan.bank.gov.ua/get-user-certificate/J5325SzoCbfdT7Uu8zrQ","Завантажити сертифікат")</f>
        <v>Завантажити сертифікат</v>
      </c>
    </row>
    <row r="2642" spans="1:6" ht="28.8" x14ac:dyDescent="0.3">
      <c r="A2642" s="2">
        <v>2641</v>
      </c>
      <c r="B2642" s="1" t="s">
        <v>5611</v>
      </c>
      <c r="C2642" s="1" t="s">
        <v>5600</v>
      </c>
      <c r="D2642" s="1" t="s">
        <v>5601</v>
      </c>
      <c r="E2642" s="1" t="s">
        <v>5612</v>
      </c>
      <c r="F2642" s="1" t="str">
        <f>HYPERLINK("https://talan.bank.gov.ua/get-user-certificate/J5325RGzHYOXnQk7Bpr-","Завантажити сертифікат")</f>
        <v>Завантажити сертифікат</v>
      </c>
    </row>
    <row r="2643" spans="1:6" ht="28.8" x14ac:dyDescent="0.3">
      <c r="A2643" s="2">
        <v>2642</v>
      </c>
      <c r="B2643" s="1" t="s">
        <v>5613</v>
      </c>
      <c r="C2643" s="1" t="s">
        <v>5600</v>
      </c>
      <c r="D2643" s="1" t="s">
        <v>5601</v>
      </c>
      <c r="E2643" s="1" t="s">
        <v>5614</v>
      </c>
      <c r="F2643" s="1" t="str">
        <f>HYPERLINK("https://talan.bank.gov.ua/get-user-certificate/J5325tMYP3yOnsGGfq2B","Завантажити сертифікат")</f>
        <v>Завантажити сертифікат</v>
      </c>
    </row>
    <row r="2644" spans="1:6" ht="28.8" x14ac:dyDescent="0.3">
      <c r="A2644" s="2">
        <v>2643</v>
      </c>
      <c r="B2644" s="1" t="s">
        <v>5615</v>
      </c>
      <c r="C2644" s="1" t="s">
        <v>5600</v>
      </c>
      <c r="D2644" s="1" t="s">
        <v>5601</v>
      </c>
      <c r="E2644" s="1" t="s">
        <v>5616</v>
      </c>
      <c r="F2644" s="1" t="str">
        <f>HYPERLINK("https://talan.bank.gov.ua/get-user-certificate/J5325vLVJ5C96rIDcdd4","Завантажити сертифікат")</f>
        <v>Завантажити сертифікат</v>
      </c>
    </row>
    <row r="2645" spans="1:6" ht="28.8" x14ac:dyDescent="0.3">
      <c r="A2645" s="2">
        <v>2644</v>
      </c>
      <c r="B2645" s="1" t="s">
        <v>5617</v>
      </c>
      <c r="C2645" s="1" t="s">
        <v>5600</v>
      </c>
      <c r="D2645" s="1" t="s">
        <v>5601</v>
      </c>
      <c r="E2645" s="1" t="s">
        <v>5618</v>
      </c>
      <c r="F2645" s="1" t="str">
        <f>HYPERLINK("https://talan.bank.gov.ua/get-user-certificate/J5325bGgiq5fIqtzI72m","Завантажити сертифікат")</f>
        <v>Завантажити сертифікат</v>
      </c>
    </row>
    <row r="2646" spans="1:6" ht="28.8" x14ac:dyDescent="0.3">
      <c r="A2646" s="2">
        <v>2645</v>
      </c>
      <c r="B2646" s="1" t="s">
        <v>5619</v>
      </c>
      <c r="C2646" s="1" t="s">
        <v>5600</v>
      </c>
      <c r="D2646" s="1" t="s">
        <v>5601</v>
      </c>
      <c r="E2646" s="1" t="s">
        <v>5620</v>
      </c>
      <c r="F2646" s="1" t="str">
        <f>HYPERLINK("https://talan.bank.gov.ua/get-user-certificate/J5325JeyAamt_2oXJW-v","Завантажити сертифікат")</f>
        <v>Завантажити сертифікат</v>
      </c>
    </row>
    <row r="2647" spans="1:6" ht="28.8" x14ac:dyDescent="0.3">
      <c r="A2647" s="2">
        <v>2646</v>
      </c>
      <c r="B2647" s="1" t="s">
        <v>5621</v>
      </c>
      <c r="C2647" s="1" t="s">
        <v>5600</v>
      </c>
      <c r="D2647" s="1" t="s">
        <v>5601</v>
      </c>
      <c r="E2647" s="1" t="s">
        <v>5622</v>
      </c>
      <c r="F2647" s="1" t="str">
        <f>HYPERLINK("https://talan.bank.gov.ua/get-user-certificate/J5325PwpTRwckdufavFL","Завантажити сертифікат")</f>
        <v>Завантажити сертифікат</v>
      </c>
    </row>
    <row r="2648" spans="1:6" ht="28.8" x14ac:dyDescent="0.3">
      <c r="A2648" s="2">
        <v>2647</v>
      </c>
      <c r="B2648" s="1" t="s">
        <v>5623</v>
      </c>
      <c r="C2648" s="1" t="s">
        <v>5600</v>
      </c>
      <c r="D2648" s="1" t="s">
        <v>5601</v>
      </c>
      <c r="E2648" s="1" t="s">
        <v>5624</v>
      </c>
      <c r="F2648" s="1" t="str">
        <f>HYPERLINK("https://talan.bank.gov.ua/get-user-certificate/J5325VX0OkndV33hSAs7","Завантажити сертифікат")</f>
        <v>Завантажити сертифікат</v>
      </c>
    </row>
    <row r="2649" spans="1:6" ht="28.8" x14ac:dyDescent="0.3">
      <c r="A2649" s="2">
        <v>2648</v>
      </c>
      <c r="B2649" s="1" t="s">
        <v>5625</v>
      </c>
      <c r="C2649" s="1" t="s">
        <v>5600</v>
      </c>
      <c r="D2649" s="1" t="s">
        <v>5601</v>
      </c>
      <c r="E2649" s="1" t="s">
        <v>5626</v>
      </c>
      <c r="F2649" s="1" t="str">
        <f>HYPERLINK("https://talan.bank.gov.ua/get-user-certificate/J5325vls5Z6HFcfgbp4S","Завантажити сертифікат")</f>
        <v>Завантажити сертифікат</v>
      </c>
    </row>
    <row r="2650" spans="1:6" ht="28.8" x14ac:dyDescent="0.3">
      <c r="A2650" s="2">
        <v>2649</v>
      </c>
      <c r="B2650" s="1" t="s">
        <v>5627</v>
      </c>
      <c r="C2650" s="1" t="s">
        <v>5600</v>
      </c>
      <c r="D2650" s="1" t="s">
        <v>5601</v>
      </c>
      <c r="E2650" s="1" t="s">
        <v>5628</v>
      </c>
      <c r="F2650" s="1" t="str">
        <f>HYPERLINK("https://talan.bank.gov.ua/get-user-certificate/J5325kTaT4Lo_25tYZtf","Завантажити сертифікат")</f>
        <v>Завантажити сертифікат</v>
      </c>
    </row>
    <row r="2651" spans="1:6" ht="28.8" x14ac:dyDescent="0.3">
      <c r="A2651" s="2">
        <v>2650</v>
      </c>
      <c r="B2651" s="1" t="s">
        <v>5629</v>
      </c>
      <c r="C2651" s="1" t="s">
        <v>5600</v>
      </c>
      <c r="D2651" s="1" t="s">
        <v>5601</v>
      </c>
      <c r="E2651" s="1" t="s">
        <v>5630</v>
      </c>
      <c r="F2651" s="1" t="str">
        <f>HYPERLINK("https://talan.bank.gov.ua/get-user-certificate/J5325TC7xu_Izmyn9HKM","Завантажити сертифікат")</f>
        <v>Завантажити сертифікат</v>
      </c>
    </row>
    <row r="2652" spans="1:6" ht="28.8" x14ac:dyDescent="0.3">
      <c r="A2652" s="2">
        <v>2651</v>
      </c>
      <c r="B2652" s="1" t="s">
        <v>5631</v>
      </c>
      <c r="C2652" s="1" t="s">
        <v>5600</v>
      </c>
      <c r="D2652" s="1" t="s">
        <v>5601</v>
      </c>
      <c r="E2652" s="1" t="s">
        <v>5632</v>
      </c>
      <c r="F2652" s="1" t="str">
        <f>HYPERLINK("https://talan.bank.gov.ua/get-user-certificate/J5325QWhXDyaAmJqEliz","Завантажити сертифікат")</f>
        <v>Завантажити сертифікат</v>
      </c>
    </row>
    <row r="2653" spans="1:6" ht="28.8" x14ac:dyDescent="0.3">
      <c r="A2653" s="2">
        <v>2652</v>
      </c>
      <c r="B2653" s="1" t="s">
        <v>5633</v>
      </c>
      <c r="C2653" s="1" t="s">
        <v>5600</v>
      </c>
      <c r="D2653" s="1" t="s">
        <v>5601</v>
      </c>
      <c r="E2653" s="1" t="s">
        <v>5634</v>
      </c>
      <c r="F2653" s="1" t="str">
        <f>HYPERLINK("https://talan.bank.gov.ua/get-user-certificate/J5325-Yj0EvW08ychpeO","Завантажити сертифікат")</f>
        <v>Завантажити сертифікат</v>
      </c>
    </row>
    <row r="2654" spans="1:6" ht="28.8" x14ac:dyDescent="0.3">
      <c r="A2654" s="2">
        <v>2653</v>
      </c>
      <c r="B2654" s="1" t="s">
        <v>5635</v>
      </c>
      <c r="C2654" s="1" t="s">
        <v>5600</v>
      </c>
      <c r="D2654" s="1" t="s">
        <v>5601</v>
      </c>
      <c r="E2654" s="1" t="s">
        <v>5636</v>
      </c>
      <c r="F2654" s="1" t="str">
        <f>HYPERLINK("https://talan.bank.gov.ua/get-user-certificate/J5325d7NhStBQuLnQwkw","Завантажити сертифікат")</f>
        <v>Завантажити сертифікат</v>
      </c>
    </row>
    <row r="2655" spans="1:6" ht="28.8" x14ac:dyDescent="0.3">
      <c r="A2655" s="2">
        <v>2654</v>
      </c>
      <c r="B2655" s="1" t="s">
        <v>5637</v>
      </c>
      <c r="C2655" s="1" t="s">
        <v>5600</v>
      </c>
      <c r="D2655" s="1" t="s">
        <v>5601</v>
      </c>
      <c r="E2655" s="1" t="s">
        <v>5638</v>
      </c>
      <c r="F2655" s="1" t="str">
        <f>HYPERLINK("https://talan.bank.gov.ua/get-user-certificate/J5325VJFvEjR6r6PtzSf","Завантажити сертифікат")</f>
        <v>Завантажити сертифікат</v>
      </c>
    </row>
    <row r="2656" spans="1:6" ht="28.8" x14ac:dyDescent="0.3">
      <c r="A2656" s="2">
        <v>2655</v>
      </c>
      <c r="B2656" s="1" t="s">
        <v>5639</v>
      </c>
      <c r="C2656" s="1" t="s">
        <v>5600</v>
      </c>
      <c r="D2656" s="1" t="s">
        <v>5601</v>
      </c>
      <c r="E2656" s="1" t="s">
        <v>5640</v>
      </c>
      <c r="F2656" s="1" t="str">
        <f>HYPERLINK("https://talan.bank.gov.ua/get-user-certificate/J5325BDzWjphiaKWYvZo","Завантажити сертифікат")</f>
        <v>Завантажити сертифікат</v>
      </c>
    </row>
    <row r="2657" spans="1:6" ht="28.8" x14ac:dyDescent="0.3">
      <c r="A2657" s="2">
        <v>2656</v>
      </c>
      <c r="B2657" s="1" t="s">
        <v>5641</v>
      </c>
      <c r="C2657" s="1" t="s">
        <v>5600</v>
      </c>
      <c r="D2657" s="1" t="s">
        <v>5601</v>
      </c>
      <c r="E2657" s="1" t="s">
        <v>5642</v>
      </c>
      <c r="F2657" s="1" t="str">
        <f>HYPERLINK("https://talan.bank.gov.ua/get-user-certificate/J53253VXPEdVKAOxM26y","Завантажити сертифікат")</f>
        <v>Завантажити сертифікат</v>
      </c>
    </row>
    <row r="2658" spans="1:6" x14ac:dyDescent="0.3">
      <c r="A2658" s="2">
        <v>2657</v>
      </c>
      <c r="B2658" s="1" t="s">
        <v>5643</v>
      </c>
      <c r="C2658" s="1" t="s">
        <v>5644</v>
      </c>
      <c r="D2658" s="1" t="s">
        <v>5645</v>
      </c>
      <c r="E2658" s="1" t="s">
        <v>5646</v>
      </c>
      <c r="F2658" s="1" t="str">
        <f>HYPERLINK("https://talan.bank.gov.ua/get-user-certificate/J5325Zm1HNzoIgVIrbjV","Завантажити сертифікат")</f>
        <v>Завантажити сертифікат</v>
      </c>
    </row>
    <row r="2659" spans="1:6" x14ac:dyDescent="0.3">
      <c r="A2659" s="2">
        <v>2658</v>
      </c>
      <c r="B2659" s="1" t="s">
        <v>5647</v>
      </c>
      <c r="C2659" s="1" t="s">
        <v>5644</v>
      </c>
      <c r="D2659" s="1" t="s">
        <v>5645</v>
      </c>
      <c r="E2659" s="1" t="s">
        <v>5648</v>
      </c>
      <c r="F2659" s="1" t="str">
        <f>HYPERLINK("https://talan.bank.gov.ua/get-user-certificate/J5325uSTnOuqTSSBgu2O","Завантажити сертифікат")</f>
        <v>Завантажити сертифікат</v>
      </c>
    </row>
    <row r="2660" spans="1:6" x14ac:dyDescent="0.3">
      <c r="A2660" s="2">
        <v>2659</v>
      </c>
      <c r="B2660" s="1" t="s">
        <v>5649</v>
      </c>
      <c r="C2660" s="1" t="s">
        <v>5644</v>
      </c>
      <c r="D2660" s="1" t="s">
        <v>5645</v>
      </c>
      <c r="E2660" s="1" t="s">
        <v>5650</v>
      </c>
      <c r="F2660" s="1" t="str">
        <f>HYPERLINK("https://talan.bank.gov.ua/get-user-certificate/J5325J5tcMr4mbzj7uI0","Завантажити сертифікат")</f>
        <v>Завантажити сертифікат</v>
      </c>
    </row>
    <row r="2661" spans="1:6" x14ac:dyDescent="0.3">
      <c r="A2661" s="2">
        <v>2660</v>
      </c>
      <c r="B2661" s="1" t="s">
        <v>5651</v>
      </c>
      <c r="C2661" s="1" t="s">
        <v>5644</v>
      </c>
      <c r="D2661" s="1" t="s">
        <v>5645</v>
      </c>
      <c r="E2661" s="1" t="s">
        <v>5652</v>
      </c>
      <c r="F2661" s="1" t="str">
        <f>HYPERLINK("https://talan.bank.gov.ua/get-user-certificate/J53250l0qVkMYkg7jnwT","Завантажити сертифікат")</f>
        <v>Завантажити сертифікат</v>
      </c>
    </row>
    <row r="2662" spans="1:6" x14ac:dyDescent="0.3">
      <c r="A2662" s="2">
        <v>2661</v>
      </c>
      <c r="B2662" s="1" t="s">
        <v>5653</v>
      </c>
      <c r="C2662" s="1" t="s">
        <v>5644</v>
      </c>
      <c r="D2662" s="1" t="s">
        <v>5645</v>
      </c>
      <c r="E2662" s="1" t="s">
        <v>5654</v>
      </c>
      <c r="F2662" s="1" t="str">
        <f>HYPERLINK("https://talan.bank.gov.ua/get-user-certificate/J5325EB7yPmrg3cvZMYU","Завантажити сертифікат")</f>
        <v>Завантажити сертифікат</v>
      </c>
    </row>
    <row r="2663" spans="1:6" x14ac:dyDescent="0.3">
      <c r="A2663" s="2">
        <v>2662</v>
      </c>
      <c r="B2663" s="1" t="s">
        <v>5655</v>
      </c>
      <c r="C2663" s="1" t="s">
        <v>5644</v>
      </c>
      <c r="D2663" s="1" t="s">
        <v>5645</v>
      </c>
      <c r="E2663" s="1" t="s">
        <v>5656</v>
      </c>
      <c r="F2663" s="1" t="str">
        <f>HYPERLINK("https://talan.bank.gov.ua/get-user-certificate/J5325Brti9Uy1JElC4CN","Завантажити сертифікат")</f>
        <v>Завантажити сертифікат</v>
      </c>
    </row>
    <row r="2664" spans="1:6" x14ac:dyDescent="0.3">
      <c r="A2664" s="2">
        <v>2663</v>
      </c>
      <c r="B2664" s="1" t="s">
        <v>5657</v>
      </c>
      <c r="C2664" s="1" t="s">
        <v>5644</v>
      </c>
      <c r="D2664" s="1" t="s">
        <v>5645</v>
      </c>
      <c r="E2664" s="1" t="s">
        <v>5658</v>
      </c>
      <c r="F2664" s="1" t="str">
        <f>HYPERLINK("https://talan.bank.gov.ua/get-user-certificate/J5325h9ddFjaD6urzseV","Завантажити сертифікат")</f>
        <v>Завантажити сертифікат</v>
      </c>
    </row>
    <row r="2665" spans="1:6" x14ac:dyDescent="0.3">
      <c r="A2665" s="2">
        <v>2664</v>
      </c>
      <c r="B2665" s="1" t="s">
        <v>5659</v>
      </c>
      <c r="C2665" s="1" t="s">
        <v>5644</v>
      </c>
      <c r="D2665" s="1" t="s">
        <v>5645</v>
      </c>
      <c r="E2665" s="1" t="s">
        <v>5660</v>
      </c>
      <c r="F2665" s="1" t="str">
        <f>HYPERLINK("https://talan.bank.gov.ua/get-user-certificate/J5325FjxSxm8Nzbaq4sS","Завантажити сертифікат")</f>
        <v>Завантажити сертифікат</v>
      </c>
    </row>
    <row r="2666" spans="1:6" x14ac:dyDescent="0.3">
      <c r="A2666" s="2">
        <v>2665</v>
      </c>
      <c r="B2666" s="1" t="s">
        <v>5661</v>
      </c>
      <c r="C2666" s="1" t="s">
        <v>5644</v>
      </c>
      <c r="D2666" s="1" t="s">
        <v>5645</v>
      </c>
      <c r="E2666" s="1" t="s">
        <v>5662</v>
      </c>
      <c r="F2666" s="1" t="str">
        <f>HYPERLINK("https://talan.bank.gov.ua/get-user-certificate/J5325Npop1KKwvZNNC8l","Завантажити сертифікат")</f>
        <v>Завантажити сертифікат</v>
      </c>
    </row>
    <row r="2667" spans="1:6" x14ac:dyDescent="0.3">
      <c r="A2667" s="2">
        <v>2666</v>
      </c>
      <c r="B2667" s="1" t="s">
        <v>5663</v>
      </c>
      <c r="C2667" s="1" t="s">
        <v>5644</v>
      </c>
      <c r="D2667" s="1" t="s">
        <v>5645</v>
      </c>
      <c r="E2667" s="1" t="s">
        <v>5664</v>
      </c>
      <c r="F2667" s="1" t="str">
        <f>HYPERLINK("https://talan.bank.gov.ua/get-user-certificate/J5325fuXZCj5ZX4OffI-","Завантажити сертифікат")</f>
        <v>Завантажити сертифікат</v>
      </c>
    </row>
    <row r="2668" spans="1:6" x14ac:dyDescent="0.3">
      <c r="A2668" s="2">
        <v>2667</v>
      </c>
      <c r="B2668" s="1" t="s">
        <v>5665</v>
      </c>
      <c r="C2668" s="1" t="s">
        <v>5644</v>
      </c>
      <c r="D2668" s="1" t="s">
        <v>5645</v>
      </c>
      <c r="E2668" s="1" t="s">
        <v>5666</v>
      </c>
      <c r="F2668" s="1" t="str">
        <f>HYPERLINK("https://talan.bank.gov.ua/get-user-certificate/J5325b2WgPUK5HIr97x8","Завантажити сертифікат")</f>
        <v>Завантажити сертифікат</v>
      </c>
    </row>
    <row r="2669" spans="1:6" x14ac:dyDescent="0.3">
      <c r="A2669" s="2">
        <v>2668</v>
      </c>
      <c r="B2669" s="1" t="s">
        <v>5667</v>
      </c>
      <c r="C2669" s="1" t="s">
        <v>5644</v>
      </c>
      <c r="D2669" s="1" t="s">
        <v>5645</v>
      </c>
      <c r="E2669" s="1" t="s">
        <v>5668</v>
      </c>
      <c r="F2669" s="1" t="str">
        <f>HYPERLINK("https://talan.bank.gov.ua/get-user-certificate/J5325U1rVYEEso-1f5WK","Завантажити сертифікат")</f>
        <v>Завантажити сертифікат</v>
      </c>
    </row>
    <row r="2670" spans="1:6" x14ac:dyDescent="0.3">
      <c r="A2670" s="2">
        <v>2669</v>
      </c>
      <c r="B2670" s="1" t="s">
        <v>5669</v>
      </c>
      <c r="C2670" s="1" t="s">
        <v>5644</v>
      </c>
      <c r="D2670" s="1" t="s">
        <v>5645</v>
      </c>
      <c r="E2670" s="1" t="s">
        <v>5670</v>
      </c>
      <c r="F2670" s="1" t="str">
        <f>HYPERLINK("https://talan.bank.gov.ua/get-user-certificate/J5325eXfBi2-nBk8uORQ","Завантажити сертифікат")</f>
        <v>Завантажити сертифікат</v>
      </c>
    </row>
    <row r="2671" spans="1:6" x14ac:dyDescent="0.3">
      <c r="A2671" s="2">
        <v>2670</v>
      </c>
      <c r="B2671" s="1" t="s">
        <v>5671</v>
      </c>
      <c r="C2671" s="1" t="s">
        <v>5672</v>
      </c>
      <c r="D2671" s="1" t="s">
        <v>5673</v>
      </c>
      <c r="E2671" s="1" t="s">
        <v>5674</v>
      </c>
      <c r="F2671" s="1" t="str">
        <f>HYPERLINK("https://talan.bank.gov.ua/get-user-certificate/J5325mb1Ts-QwOtHlDbk","Завантажити сертифікат")</f>
        <v>Завантажити сертифікат</v>
      </c>
    </row>
    <row r="2672" spans="1:6" x14ac:dyDescent="0.3">
      <c r="A2672" s="2">
        <v>2671</v>
      </c>
      <c r="B2672" s="1" t="s">
        <v>5675</v>
      </c>
      <c r="C2672" s="1" t="s">
        <v>5672</v>
      </c>
      <c r="D2672" s="1" t="s">
        <v>5673</v>
      </c>
      <c r="E2672" s="1" t="s">
        <v>5676</v>
      </c>
      <c r="F2672" s="1" t="str">
        <f>HYPERLINK("https://talan.bank.gov.ua/get-user-certificate/J53253G9eWmaoW4-vncF","Завантажити сертифікат")</f>
        <v>Завантажити сертифікат</v>
      </c>
    </row>
    <row r="2673" spans="1:6" x14ac:dyDescent="0.3">
      <c r="A2673" s="2">
        <v>2672</v>
      </c>
      <c r="B2673" s="1" t="s">
        <v>5677</v>
      </c>
      <c r="C2673" s="1" t="s">
        <v>5672</v>
      </c>
      <c r="D2673" s="1" t="s">
        <v>5673</v>
      </c>
      <c r="E2673" s="1" t="s">
        <v>5678</v>
      </c>
      <c r="F2673" s="1" t="str">
        <f>HYPERLINK("https://talan.bank.gov.ua/get-user-certificate/J5325SHFsyAbc_bIIMy9","Завантажити сертифікат")</f>
        <v>Завантажити сертифікат</v>
      </c>
    </row>
    <row r="2674" spans="1:6" x14ac:dyDescent="0.3">
      <c r="A2674" s="2">
        <v>2673</v>
      </c>
      <c r="B2674" s="1" t="s">
        <v>5679</v>
      </c>
      <c r="C2674" s="1" t="s">
        <v>5672</v>
      </c>
      <c r="D2674" s="1" t="s">
        <v>5673</v>
      </c>
      <c r="E2674" s="1" t="s">
        <v>5680</v>
      </c>
      <c r="F2674" s="1" t="str">
        <f>HYPERLINK("https://talan.bank.gov.ua/get-user-certificate/J5325_DYNx6J_Skz1w1N","Завантажити сертифікат")</f>
        <v>Завантажити сертифікат</v>
      </c>
    </row>
    <row r="2675" spans="1:6" x14ac:dyDescent="0.3">
      <c r="A2675" s="2">
        <v>2674</v>
      </c>
      <c r="B2675" s="1" t="s">
        <v>5681</v>
      </c>
      <c r="C2675" s="1" t="s">
        <v>5672</v>
      </c>
      <c r="D2675" s="1" t="s">
        <v>5673</v>
      </c>
      <c r="E2675" s="1" t="s">
        <v>5682</v>
      </c>
      <c r="F2675" s="1" t="str">
        <f>HYPERLINK("https://talan.bank.gov.ua/get-user-certificate/J5325z03vmdVy86RnHO3","Завантажити сертифікат")</f>
        <v>Завантажити сертифікат</v>
      </c>
    </row>
    <row r="2676" spans="1:6" x14ac:dyDescent="0.3">
      <c r="A2676" s="2">
        <v>2675</v>
      </c>
      <c r="B2676" s="1" t="s">
        <v>5683</v>
      </c>
      <c r="C2676" s="1" t="s">
        <v>5672</v>
      </c>
      <c r="D2676" s="1" t="s">
        <v>5673</v>
      </c>
      <c r="E2676" s="1" t="s">
        <v>5684</v>
      </c>
      <c r="F2676" s="1" t="str">
        <f>HYPERLINK("https://talan.bank.gov.ua/get-user-certificate/J53257iLQyUYrzaj1VXt","Завантажити сертифікат")</f>
        <v>Завантажити сертифікат</v>
      </c>
    </row>
    <row r="2677" spans="1:6" x14ac:dyDescent="0.3">
      <c r="A2677" s="2">
        <v>2676</v>
      </c>
      <c r="B2677" s="1" t="s">
        <v>5685</v>
      </c>
      <c r="C2677" s="1" t="s">
        <v>5672</v>
      </c>
      <c r="D2677" s="1" t="s">
        <v>5673</v>
      </c>
      <c r="E2677" s="1" t="s">
        <v>5686</v>
      </c>
      <c r="F2677" s="1" t="str">
        <f>HYPERLINK("https://talan.bank.gov.ua/get-user-certificate/J5325Fdz5Anb-kSf-NH9","Завантажити сертифікат")</f>
        <v>Завантажити сертифікат</v>
      </c>
    </row>
    <row r="2678" spans="1:6" x14ac:dyDescent="0.3">
      <c r="A2678" s="2">
        <v>2677</v>
      </c>
      <c r="B2678" s="1" t="s">
        <v>5687</v>
      </c>
      <c r="C2678" s="1" t="s">
        <v>5672</v>
      </c>
      <c r="D2678" s="1" t="s">
        <v>5673</v>
      </c>
      <c r="E2678" s="1" t="s">
        <v>5688</v>
      </c>
      <c r="F2678" s="1" t="str">
        <f>HYPERLINK("https://talan.bank.gov.ua/get-user-certificate/J5325-Ck6yG7OBTomZnU","Завантажити сертифікат")</f>
        <v>Завантажити сертифікат</v>
      </c>
    </row>
    <row r="2679" spans="1:6" x14ac:dyDescent="0.3">
      <c r="A2679" s="2">
        <v>2678</v>
      </c>
      <c r="B2679" s="1" t="s">
        <v>5689</v>
      </c>
      <c r="C2679" s="1" t="s">
        <v>5672</v>
      </c>
      <c r="D2679" s="1" t="s">
        <v>5673</v>
      </c>
      <c r="E2679" s="1" t="s">
        <v>5690</v>
      </c>
      <c r="F2679" s="1" t="str">
        <f>HYPERLINK("https://talan.bank.gov.ua/get-user-certificate/J5325j6rTH7hnFbsa6xK","Завантажити сертифікат")</f>
        <v>Завантажити сертифікат</v>
      </c>
    </row>
    <row r="2680" spans="1:6" x14ac:dyDescent="0.3">
      <c r="A2680" s="2">
        <v>2679</v>
      </c>
      <c r="B2680" s="1" t="s">
        <v>5691</v>
      </c>
      <c r="C2680" s="1" t="s">
        <v>5672</v>
      </c>
      <c r="D2680" s="1" t="s">
        <v>5673</v>
      </c>
      <c r="E2680" s="1" t="s">
        <v>5692</v>
      </c>
      <c r="F2680" s="1" t="str">
        <f>HYPERLINK("https://talan.bank.gov.ua/get-user-certificate/J53251sURKRDeKR6kjJK","Завантажити сертифікат")</f>
        <v>Завантажити сертифікат</v>
      </c>
    </row>
    <row r="2681" spans="1:6" x14ac:dyDescent="0.3">
      <c r="A2681" s="2">
        <v>2680</v>
      </c>
      <c r="B2681" s="1" t="s">
        <v>5693</v>
      </c>
      <c r="C2681" s="1" t="s">
        <v>5672</v>
      </c>
      <c r="D2681" s="1" t="s">
        <v>5673</v>
      </c>
      <c r="E2681" s="1" t="s">
        <v>5694</v>
      </c>
      <c r="F2681" s="1" t="str">
        <f>HYPERLINK("https://talan.bank.gov.ua/get-user-certificate/J5325baF-nDfiWfjjnId","Завантажити сертифікат")</f>
        <v>Завантажити сертифікат</v>
      </c>
    </row>
    <row r="2682" spans="1:6" ht="28.8" x14ac:dyDescent="0.3">
      <c r="A2682" s="2">
        <v>2681</v>
      </c>
      <c r="B2682" s="1" t="s">
        <v>5695</v>
      </c>
      <c r="C2682" s="1" t="s">
        <v>5696</v>
      </c>
      <c r="D2682" s="1" t="s">
        <v>5697</v>
      </c>
      <c r="E2682" s="1" t="s">
        <v>5698</v>
      </c>
      <c r="F2682" s="1" t="str">
        <f>HYPERLINK("https://talan.bank.gov.ua/get-user-certificate/J53259g9Tg8Q0_rIFeHG","Завантажити сертифікат")</f>
        <v>Завантажити сертифікат</v>
      </c>
    </row>
    <row r="2683" spans="1:6" ht="28.8" x14ac:dyDescent="0.3">
      <c r="A2683" s="2">
        <v>2682</v>
      </c>
      <c r="B2683" s="1" t="s">
        <v>5699</v>
      </c>
      <c r="C2683" s="1" t="s">
        <v>5696</v>
      </c>
      <c r="D2683" s="1" t="s">
        <v>5697</v>
      </c>
      <c r="E2683" s="1" t="s">
        <v>5700</v>
      </c>
      <c r="F2683" s="1" t="str">
        <f>HYPERLINK("https://talan.bank.gov.ua/get-user-certificate/J5325yg2Zw2AbcUthGNQ","Завантажити сертифікат")</f>
        <v>Завантажити сертифікат</v>
      </c>
    </row>
    <row r="2684" spans="1:6" ht="28.8" x14ac:dyDescent="0.3">
      <c r="A2684" s="2">
        <v>2683</v>
      </c>
      <c r="B2684" s="1" t="s">
        <v>5701</v>
      </c>
      <c r="C2684" s="1" t="s">
        <v>5696</v>
      </c>
      <c r="D2684" s="1" t="s">
        <v>5697</v>
      </c>
      <c r="E2684" s="1" t="s">
        <v>5702</v>
      </c>
      <c r="F2684" s="1" t="str">
        <f>HYPERLINK("https://talan.bank.gov.ua/get-user-certificate/J5325HvrJWJwHPxFCiJy","Завантажити сертифікат")</f>
        <v>Завантажити сертифікат</v>
      </c>
    </row>
    <row r="2685" spans="1:6" ht="28.8" x14ac:dyDescent="0.3">
      <c r="A2685" s="2">
        <v>2684</v>
      </c>
      <c r="B2685" s="1" t="s">
        <v>5703</v>
      </c>
      <c r="C2685" s="1" t="s">
        <v>5696</v>
      </c>
      <c r="D2685" s="1" t="s">
        <v>5697</v>
      </c>
      <c r="E2685" s="1" t="s">
        <v>5704</v>
      </c>
      <c r="F2685" s="1" t="str">
        <f>HYPERLINK("https://talan.bank.gov.ua/get-user-certificate/J5325qDx8B-Fe7kGLYoC","Завантажити сертифікат")</f>
        <v>Завантажити сертифікат</v>
      </c>
    </row>
    <row r="2686" spans="1:6" ht="28.8" x14ac:dyDescent="0.3">
      <c r="A2686" s="2">
        <v>2685</v>
      </c>
      <c r="B2686" s="1" t="s">
        <v>5705</v>
      </c>
      <c r="C2686" s="1" t="s">
        <v>5696</v>
      </c>
      <c r="D2686" s="1" t="s">
        <v>5697</v>
      </c>
      <c r="E2686" s="1" t="s">
        <v>5706</v>
      </c>
      <c r="F2686" s="1" t="str">
        <f>HYPERLINK("https://talan.bank.gov.ua/get-user-certificate/J5325mqKfJ6LKJPlC6kW","Завантажити сертифікат")</f>
        <v>Завантажити сертифікат</v>
      </c>
    </row>
    <row r="2687" spans="1:6" ht="28.8" x14ac:dyDescent="0.3">
      <c r="A2687" s="2">
        <v>2686</v>
      </c>
      <c r="B2687" s="1" t="s">
        <v>5707</v>
      </c>
      <c r="C2687" s="1" t="s">
        <v>5696</v>
      </c>
      <c r="D2687" s="1" t="s">
        <v>5697</v>
      </c>
      <c r="E2687" s="1" t="s">
        <v>5708</v>
      </c>
      <c r="F2687" s="1" t="str">
        <f>HYPERLINK("https://talan.bank.gov.ua/get-user-certificate/J5325e2MtRMtki2cfCzE","Завантажити сертифікат")</f>
        <v>Завантажити сертифікат</v>
      </c>
    </row>
    <row r="2688" spans="1:6" x14ac:dyDescent="0.3">
      <c r="A2688" s="2">
        <v>2687</v>
      </c>
      <c r="B2688" s="1" t="s">
        <v>5709</v>
      </c>
      <c r="C2688" s="1" t="s">
        <v>5710</v>
      </c>
      <c r="D2688" s="1" t="s">
        <v>5711</v>
      </c>
      <c r="E2688" s="1" t="s">
        <v>5712</v>
      </c>
      <c r="F2688" s="1" t="str">
        <f>HYPERLINK("https://talan.bank.gov.ua/get-user-certificate/J5325bgVbM_AELTfiBzv","Завантажити сертифікат")</f>
        <v>Завантажити сертифікат</v>
      </c>
    </row>
    <row r="2689" spans="1:6" x14ac:dyDescent="0.3">
      <c r="A2689" s="2">
        <v>2688</v>
      </c>
      <c r="B2689" s="1" t="s">
        <v>5713</v>
      </c>
      <c r="C2689" s="1" t="s">
        <v>5710</v>
      </c>
      <c r="D2689" s="1" t="s">
        <v>5711</v>
      </c>
      <c r="E2689" s="1" t="s">
        <v>5714</v>
      </c>
      <c r="F2689" s="1" t="str">
        <f>HYPERLINK("https://talan.bank.gov.ua/get-user-certificate/J5325XI3Xju6iF2gJ2H1","Завантажити сертифікат")</f>
        <v>Завантажити сертифікат</v>
      </c>
    </row>
    <row r="2690" spans="1:6" x14ac:dyDescent="0.3">
      <c r="A2690" s="2">
        <v>2689</v>
      </c>
      <c r="B2690" s="1" t="s">
        <v>5715</v>
      </c>
      <c r="C2690" s="1" t="s">
        <v>5710</v>
      </c>
      <c r="D2690" s="1" t="s">
        <v>5711</v>
      </c>
      <c r="E2690" s="1" t="s">
        <v>5716</v>
      </c>
      <c r="F2690" s="1" t="str">
        <f>HYPERLINK("https://talan.bank.gov.ua/get-user-certificate/J5325BgDrw2_2LAW8_b_","Завантажити сертифікат")</f>
        <v>Завантажити сертифікат</v>
      </c>
    </row>
    <row r="2691" spans="1:6" x14ac:dyDescent="0.3">
      <c r="A2691" s="2">
        <v>2690</v>
      </c>
      <c r="B2691" s="1" t="s">
        <v>5717</v>
      </c>
      <c r="C2691" s="1" t="s">
        <v>5710</v>
      </c>
      <c r="D2691" s="1" t="s">
        <v>5711</v>
      </c>
      <c r="E2691" s="1" t="s">
        <v>5718</v>
      </c>
      <c r="F2691" s="1" t="str">
        <f>HYPERLINK("https://talan.bank.gov.ua/get-user-certificate/J5325_A9JtY1o_6y7JTb","Завантажити сертифікат")</f>
        <v>Завантажити сертифікат</v>
      </c>
    </row>
    <row r="2692" spans="1:6" x14ac:dyDescent="0.3">
      <c r="A2692" s="2">
        <v>2691</v>
      </c>
      <c r="B2692" s="1" t="s">
        <v>5719</v>
      </c>
      <c r="C2692" s="1" t="s">
        <v>5710</v>
      </c>
      <c r="D2692" s="1" t="s">
        <v>5711</v>
      </c>
      <c r="E2692" s="1" t="s">
        <v>5720</v>
      </c>
      <c r="F2692" s="1" t="str">
        <f>HYPERLINK("https://talan.bank.gov.ua/get-user-certificate/J5325SQD3yS6c1gYmbCt","Завантажити сертифікат")</f>
        <v>Завантажити сертифікат</v>
      </c>
    </row>
    <row r="2693" spans="1:6" x14ac:dyDescent="0.3">
      <c r="A2693" s="2">
        <v>2692</v>
      </c>
      <c r="B2693" s="1" t="s">
        <v>5721</v>
      </c>
      <c r="C2693" s="1" t="s">
        <v>5710</v>
      </c>
      <c r="D2693" s="1" t="s">
        <v>5711</v>
      </c>
      <c r="E2693" s="1" t="s">
        <v>5722</v>
      </c>
      <c r="F2693" s="1" t="str">
        <f>HYPERLINK("https://talan.bank.gov.ua/get-user-certificate/J53256nd_9VpcMf9DxE8","Завантажити сертифікат")</f>
        <v>Завантажити сертифікат</v>
      </c>
    </row>
    <row r="2694" spans="1:6" x14ac:dyDescent="0.3">
      <c r="A2694" s="2">
        <v>2693</v>
      </c>
      <c r="B2694" s="1" t="s">
        <v>5723</v>
      </c>
      <c r="C2694" s="1" t="s">
        <v>5710</v>
      </c>
      <c r="D2694" s="1" t="s">
        <v>5711</v>
      </c>
      <c r="E2694" s="1" t="s">
        <v>5724</v>
      </c>
      <c r="F2694" s="1" t="str">
        <f>HYPERLINK("https://talan.bank.gov.ua/get-user-certificate/J53253l0ORqpXsCOvCty","Завантажити сертифікат")</f>
        <v>Завантажити сертифікат</v>
      </c>
    </row>
    <row r="2695" spans="1:6" x14ac:dyDescent="0.3">
      <c r="A2695" s="2">
        <v>2694</v>
      </c>
      <c r="B2695" s="1" t="s">
        <v>5725</v>
      </c>
      <c r="C2695" s="1" t="s">
        <v>5710</v>
      </c>
      <c r="D2695" s="1" t="s">
        <v>5711</v>
      </c>
      <c r="E2695" s="1" t="s">
        <v>5726</v>
      </c>
      <c r="F2695" s="1" t="str">
        <f>HYPERLINK("https://talan.bank.gov.ua/get-user-certificate/J5325bsYAjuvWbBuCaee","Завантажити сертифікат")</f>
        <v>Завантажити сертифікат</v>
      </c>
    </row>
    <row r="2696" spans="1:6" x14ac:dyDescent="0.3">
      <c r="A2696" s="2">
        <v>2695</v>
      </c>
      <c r="B2696" s="1" t="s">
        <v>5727</v>
      </c>
      <c r="C2696" s="1" t="s">
        <v>5710</v>
      </c>
      <c r="D2696" s="1" t="s">
        <v>5711</v>
      </c>
      <c r="E2696" s="1" t="s">
        <v>5728</v>
      </c>
      <c r="F2696" s="1" t="str">
        <f>HYPERLINK("https://talan.bank.gov.ua/get-user-certificate/J53250Rvmo4OuVygWGN4","Завантажити сертифікат")</f>
        <v>Завантажити сертифікат</v>
      </c>
    </row>
    <row r="2697" spans="1:6" x14ac:dyDescent="0.3">
      <c r="A2697" s="2">
        <v>2696</v>
      </c>
      <c r="B2697" s="1" t="s">
        <v>5729</v>
      </c>
      <c r="C2697" s="1" t="s">
        <v>5710</v>
      </c>
      <c r="D2697" s="1" t="s">
        <v>5711</v>
      </c>
      <c r="E2697" s="1" t="s">
        <v>5730</v>
      </c>
      <c r="F2697" s="1" t="str">
        <f>HYPERLINK("https://talan.bank.gov.ua/get-user-certificate/J5325FCM3db1DfaEhNRr","Завантажити сертифікат")</f>
        <v>Завантажити сертифікат</v>
      </c>
    </row>
    <row r="2698" spans="1:6" x14ac:dyDescent="0.3">
      <c r="A2698" s="2">
        <v>2697</v>
      </c>
      <c r="B2698" s="1" t="s">
        <v>5731</v>
      </c>
      <c r="C2698" s="1" t="s">
        <v>5710</v>
      </c>
      <c r="D2698" s="1" t="s">
        <v>5711</v>
      </c>
      <c r="E2698" s="1" t="s">
        <v>5732</v>
      </c>
      <c r="F2698" s="1" t="str">
        <f>HYPERLINK("https://talan.bank.gov.ua/get-user-certificate/J5325y6550E_y0rFPif6","Завантажити сертифікат")</f>
        <v>Завантажити сертифікат</v>
      </c>
    </row>
    <row r="2699" spans="1:6" x14ac:dyDescent="0.3">
      <c r="A2699" s="2">
        <v>2698</v>
      </c>
      <c r="B2699" s="1" t="s">
        <v>5733</v>
      </c>
      <c r="C2699" s="1" t="s">
        <v>5710</v>
      </c>
      <c r="D2699" s="1" t="s">
        <v>5711</v>
      </c>
      <c r="E2699" s="1" t="s">
        <v>5734</v>
      </c>
      <c r="F2699" s="1" t="str">
        <f>HYPERLINK("https://talan.bank.gov.ua/get-user-certificate/J5325h-k7FpVqpN7KLkI","Завантажити сертифікат")</f>
        <v>Завантажити сертифікат</v>
      </c>
    </row>
    <row r="2700" spans="1:6" x14ac:dyDescent="0.3">
      <c r="A2700" s="2">
        <v>2699</v>
      </c>
      <c r="B2700" s="1" t="s">
        <v>5735</v>
      </c>
      <c r="C2700" s="1" t="s">
        <v>5710</v>
      </c>
      <c r="D2700" s="1" t="s">
        <v>5711</v>
      </c>
      <c r="E2700" s="1" t="s">
        <v>5736</v>
      </c>
      <c r="F2700" s="1" t="str">
        <f>HYPERLINK("https://talan.bank.gov.ua/get-user-certificate/J5325AXukibcp9OG2KyI","Завантажити сертифікат")</f>
        <v>Завантажити сертифікат</v>
      </c>
    </row>
    <row r="2701" spans="1:6" x14ac:dyDescent="0.3">
      <c r="A2701" s="2">
        <v>2700</v>
      </c>
      <c r="B2701" s="1" t="s">
        <v>5737</v>
      </c>
      <c r="C2701" s="1" t="s">
        <v>5710</v>
      </c>
      <c r="D2701" s="1" t="s">
        <v>5711</v>
      </c>
      <c r="E2701" s="1" t="s">
        <v>5738</v>
      </c>
      <c r="F2701" s="1" t="str">
        <f>HYPERLINK("https://talan.bank.gov.ua/get-user-certificate/J5325o0YF8DmotZ-04eP","Завантажити сертифікат")</f>
        <v>Завантажити сертифікат</v>
      </c>
    </row>
    <row r="2702" spans="1:6" x14ac:dyDescent="0.3">
      <c r="A2702" s="2">
        <v>2701</v>
      </c>
      <c r="B2702" s="1" t="s">
        <v>5739</v>
      </c>
      <c r="C2702" s="1" t="s">
        <v>5710</v>
      </c>
      <c r="D2702" s="1" t="s">
        <v>5711</v>
      </c>
      <c r="E2702" s="1" t="s">
        <v>5740</v>
      </c>
      <c r="F2702" s="1" t="str">
        <f>HYPERLINK("https://talan.bank.gov.ua/get-user-certificate/J5325BVYKHo3zssbyZFG","Завантажити сертифікат")</f>
        <v>Завантажити сертифікат</v>
      </c>
    </row>
    <row r="2703" spans="1:6" x14ac:dyDescent="0.3">
      <c r="A2703" s="2">
        <v>2702</v>
      </c>
      <c r="B2703" s="1" t="s">
        <v>5741</v>
      </c>
      <c r="C2703" s="1" t="s">
        <v>5710</v>
      </c>
      <c r="D2703" s="1" t="s">
        <v>5711</v>
      </c>
      <c r="E2703" s="1" t="s">
        <v>5742</v>
      </c>
      <c r="F2703" s="1" t="str">
        <f>HYPERLINK("https://talan.bank.gov.ua/get-user-certificate/J5325NAys6SFFEmC0gHL","Завантажити сертифікат")</f>
        <v>Завантажити сертифікат</v>
      </c>
    </row>
    <row r="2704" spans="1:6" x14ac:dyDescent="0.3">
      <c r="A2704" s="2">
        <v>2703</v>
      </c>
      <c r="B2704" s="1" t="s">
        <v>5743</v>
      </c>
      <c r="C2704" s="1" t="s">
        <v>5710</v>
      </c>
      <c r="D2704" s="1" t="s">
        <v>5711</v>
      </c>
      <c r="E2704" s="1" t="s">
        <v>5744</v>
      </c>
      <c r="F2704" s="1" t="str">
        <f>HYPERLINK("https://talan.bank.gov.ua/get-user-certificate/J53251skJ5YrBE8kxP9e","Завантажити сертифікат")</f>
        <v>Завантажити сертифікат</v>
      </c>
    </row>
    <row r="2705" spans="1:6" x14ac:dyDescent="0.3">
      <c r="A2705" s="2">
        <v>2704</v>
      </c>
      <c r="B2705" s="1" t="s">
        <v>5745</v>
      </c>
      <c r="C2705" s="1" t="s">
        <v>5710</v>
      </c>
      <c r="D2705" s="1" t="s">
        <v>5711</v>
      </c>
      <c r="E2705" s="1" t="s">
        <v>5746</v>
      </c>
      <c r="F2705" s="1" t="str">
        <f>HYPERLINK("https://talan.bank.gov.ua/get-user-certificate/J5325tLFvD95FUw89Yah","Завантажити сертифікат")</f>
        <v>Завантажити сертифікат</v>
      </c>
    </row>
    <row r="2706" spans="1:6" x14ac:dyDescent="0.3">
      <c r="A2706" s="2">
        <v>2705</v>
      </c>
      <c r="B2706" s="1" t="s">
        <v>5747</v>
      </c>
      <c r="C2706" s="1" t="s">
        <v>5710</v>
      </c>
      <c r="D2706" s="1" t="s">
        <v>5711</v>
      </c>
      <c r="E2706" s="1" t="s">
        <v>5748</v>
      </c>
      <c r="F2706" s="1" t="str">
        <f>HYPERLINK("https://talan.bank.gov.ua/get-user-certificate/J5325TKjeFO8FzCZ02oy","Завантажити сертифікат")</f>
        <v>Завантажити сертифікат</v>
      </c>
    </row>
    <row r="2707" spans="1:6" ht="28.8" x14ac:dyDescent="0.3">
      <c r="A2707" s="2">
        <v>2706</v>
      </c>
      <c r="B2707" s="1" t="s">
        <v>5749</v>
      </c>
      <c r="C2707" s="1" t="s">
        <v>5710</v>
      </c>
      <c r="D2707" s="1" t="s">
        <v>5711</v>
      </c>
      <c r="E2707" s="1" t="s">
        <v>5750</v>
      </c>
      <c r="F2707" s="1" t="str">
        <f>HYPERLINK("https://talan.bank.gov.ua/get-user-certificate/J5325hvQ-FSH1VVICQMY","Завантажити сертифікат")</f>
        <v>Завантажити сертифікат</v>
      </c>
    </row>
    <row r="2708" spans="1:6" x14ac:dyDescent="0.3">
      <c r="A2708" s="2">
        <v>2707</v>
      </c>
      <c r="B2708" s="1" t="s">
        <v>5751</v>
      </c>
      <c r="C2708" s="1" t="s">
        <v>5710</v>
      </c>
      <c r="D2708" s="1" t="s">
        <v>5711</v>
      </c>
      <c r="E2708" s="1" t="s">
        <v>5752</v>
      </c>
      <c r="F2708" s="1" t="str">
        <f>HYPERLINK("https://talan.bank.gov.ua/get-user-certificate/J5325CjuF59iU-XrU5xT","Завантажити сертифікат")</f>
        <v>Завантажити сертифікат</v>
      </c>
    </row>
    <row r="2709" spans="1:6" x14ac:dyDescent="0.3">
      <c r="A2709" s="2">
        <v>2708</v>
      </c>
      <c r="B2709" s="1" t="s">
        <v>5753</v>
      </c>
      <c r="C2709" s="1" t="s">
        <v>5710</v>
      </c>
      <c r="D2709" s="1" t="s">
        <v>5711</v>
      </c>
      <c r="E2709" s="1" t="s">
        <v>5754</v>
      </c>
      <c r="F2709" s="1" t="str">
        <f>HYPERLINK("https://talan.bank.gov.ua/get-user-certificate/J5325yf5x142ne4d9k_-","Завантажити сертифікат")</f>
        <v>Завантажити сертифікат</v>
      </c>
    </row>
    <row r="2710" spans="1:6" x14ac:dyDescent="0.3">
      <c r="A2710" s="2">
        <v>2709</v>
      </c>
      <c r="B2710" s="1" t="s">
        <v>5755</v>
      </c>
      <c r="C2710" s="1" t="s">
        <v>5710</v>
      </c>
      <c r="D2710" s="1" t="s">
        <v>5711</v>
      </c>
      <c r="E2710" s="1" t="s">
        <v>5756</v>
      </c>
      <c r="F2710" s="1" t="str">
        <f>HYPERLINK("https://talan.bank.gov.ua/get-user-certificate/J5325sKMyn8_PeA12rRn","Завантажити сертифікат")</f>
        <v>Завантажити сертифікат</v>
      </c>
    </row>
    <row r="2711" spans="1:6" x14ac:dyDescent="0.3">
      <c r="A2711" s="2">
        <v>2710</v>
      </c>
      <c r="B2711" s="1" t="s">
        <v>5757</v>
      </c>
      <c r="C2711" s="1" t="s">
        <v>5710</v>
      </c>
      <c r="D2711" s="1" t="s">
        <v>5711</v>
      </c>
      <c r="E2711" s="1" t="s">
        <v>5758</v>
      </c>
      <c r="F2711" s="1" t="str">
        <f>HYPERLINK("https://talan.bank.gov.ua/get-user-certificate/J5325iip6uMkLTSv3uvQ","Завантажити сертифікат")</f>
        <v>Завантажити сертифікат</v>
      </c>
    </row>
    <row r="2712" spans="1:6" x14ac:dyDescent="0.3">
      <c r="A2712" s="2">
        <v>2711</v>
      </c>
      <c r="B2712" s="1" t="s">
        <v>5759</v>
      </c>
      <c r="C2712" s="1" t="s">
        <v>5710</v>
      </c>
      <c r="D2712" s="1" t="s">
        <v>5711</v>
      </c>
      <c r="E2712" s="1" t="s">
        <v>5760</v>
      </c>
      <c r="F2712" s="1" t="str">
        <f>HYPERLINK("https://talan.bank.gov.ua/get-user-certificate/J5325HS76UKeAp0KHc6p","Завантажити сертифікат")</f>
        <v>Завантажити сертифікат</v>
      </c>
    </row>
    <row r="2713" spans="1:6" x14ac:dyDescent="0.3">
      <c r="A2713" s="2">
        <v>2712</v>
      </c>
      <c r="B2713" s="1" t="s">
        <v>5761</v>
      </c>
      <c r="C2713" s="1" t="s">
        <v>5710</v>
      </c>
      <c r="D2713" s="1" t="s">
        <v>5711</v>
      </c>
      <c r="E2713" s="1" t="s">
        <v>5762</v>
      </c>
      <c r="F2713" s="1" t="str">
        <f>HYPERLINK("https://talan.bank.gov.ua/get-user-certificate/J53257Y9MVyG0DDl-NA2","Завантажити сертифікат")</f>
        <v>Завантажити сертифікат</v>
      </c>
    </row>
    <row r="2714" spans="1:6" x14ac:dyDescent="0.3">
      <c r="A2714" s="2">
        <v>2713</v>
      </c>
      <c r="B2714" s="1" t="s">
        <v>5763</v>
      </c>
      <c r="C2714" s="1" t="s">
        <v>5710</v>
      </c>
      <c r="D2714" s="1" t="s">
        <v>5711</v>
      </c>
      <c r="E2714" s="1" t="s">
        <v>5764</v>
      </c>
      <c r="F2714" s="1" t="str">
        <f>HYPERLINK("https://talan.bank.gov.ua/get-user-certificate/J5325DErD_qElPJ981SC","Завантажити сертифікат")</f>
        <v>Завантажити сертифікат</v>
      </c>
    </row>
    <row r="2715" spans="1:6" x14ac:dyDescent="0.3">
      <c r="A2715" s="2">
        <v>2714</v>
      </c>
      <c r="B2715" s="1" t="s">
        <v>5765</v>
      </c>
      <c r="C2715" s="1" t="s">
        <v>5710</v>
      </c>
      <c r="D2715" s="1" t="s">
        <v>5711</v>
      </c>
      <c r="E2715" s="1" t="s">
        <v>5766</v>
      </c>
      <c r="F2715" s="1" t="str">
        <f>HYPERLINK("https://talan.bank.gov.ua/get-user-certificate/J5325ah1Xtem85Hq0xix","Завантажити сертифікат")</f>
        <v>Завантажити сертифікат</v>
      </c>
    </row>
    <row r="2716" spans="1:6" x14ac:dyDescent="0.3">
      <c r="A2716" s="2">
        <v>2715</v>
      </c>
      <c r="B2716" s="1" t="s">
        <v>5767</v>
      </c>
      <c r="C2716" s="1" t="s">
        <v>5710</v>
      </c>
      <c r="D2716" s="1" t="s">
        <v>5711</v>
      </c>
      <c r="E2716" s="1" t="s">
        <v>5768</v>
      </c>
      <c r="F2716" s="1" t="str">
        <f>HYPERLINK("https://talan.bank.gov.ua/get-user-certificate/J53251tKwZoVAIXdGhzZ","Завантажити сертифікат")</f>
        <v>Завантажити сертифікат</v>
      </c>
    </row>
    <row r="2717" spans="1:6" x14ac:dyDescent="0.3">
      <c r="A2717" s="2">
        <v>2716</v>
      </c>
      <c r="B2717" s="1" t="s">
        <v>5769</v>
      </c>
      <c r="C2717" s="1" t="s">
        <v>5710</v>
      </c>
      <c r="D2717" s="1" t="s">
        <v>5711</v>
      </c>
      <c r="E2717" s="1" t="s">
        <v>5770</v>
      </c>
      <c r="F2717" s="1" t="str">
        <f>HYPERLINK("https://talan.bank.gov.ua/get-user-certificate/J5325Bo0JyauiucJlomF","Завантажити сертифікат")</f>
        <v>Завантажити сертифікат</v>
      </c>
    </row>
    <row r="2718" spans="1:6" x14ac:dyDescent="0.3">
      <c r="A2718" s="2">
        <v>2717</v>
      </c>
      <c r="B2718" s="1" t="s">
        <v>5771</v>
      </c>
      <c r="C2718" s="1" t="s">
        <v>5710</v>
      </c>
      <c r="D2718" s="1" t="s">
        <v>5711</v>
      </c>
      <c r="E2718" s="1" t="s">
        <v>5772</v>
      </c>
      <c r="F2718" s="1" t="str">
        <f>HYPERLINK("https://talan.bank.gov.ua/get-user-certificate/J5325Qybl_mdcUiOtpd8","Завантажити сертифікат")</f>
        <v>Завантажити сертифікат</v>
      </c>
    </row>
    <row r="2719" spans="1:6" x14ac:dyDescent="0.3">
      <c r="A2719" s="2">
        <v>2718</v>
      </c>
      <c r="B2719" s="1" t="s">
        <v>5773</v>
      </c>
      <c r="C2719" s="1" t="s">
        <v>5710</v>
      </c>
      <c r="D2719" s="1" t="s">
        <v>5711</v>
      </c>
      <c r="E2719" s="1" t="s">
        <v>5774</v>
      </c>
      <c r="F2719" s="1" t="str">
        <f>HYPERLINK("https://talan.bank.gov.ua/get-user-certificate/J5325utjExwzwzFb7lNr","Завантажити сертифікат")</f>
        <v>Завантажити сертифікат</v>
      </c>
    </row>
    <row r="2720" spans="1:6" x14ac:dyDescent="0.3">
      <c r="A2720" s="2">
        <v>2719</v>
      </c>
      <c r="B2720" s="1" t="s">
        <v>5775</v>
      </c>
      <c r="C2720" s="1" t="s">
        <v>5710</v>
      </c>
      <c r="D2720" s="1" t="s">
        <v>5711</v>
      </c>
      <c r="E2720" s="1" t="s">
        <v>5776</v>
      </c>
      <c r="F2720" s="1" t="str">
        <f>HYPERLINK("https://talan.bank.gov.ua/get-user-certificate/J5325aB-OFNeEUT85b3m","Завантажити сертифікат")</f>
        <v>Завантажити сертифікат</v>
      </c>
    </row>
    <row r="2721" spans="1:6" x14ac:dyDescent="0.3">
      <c r="A2721" s="2">
        <v>2720</v>
      </c>
      <c r="B2721" s="1" t="s">
        <v>5777</v>
      </c>
      <c r="C2721" s="1" t="s">
        <v>5710</v>
      </c>
      <c r="D2721" s="1" t="s">
        <v>5711</v>
      </c>
      <c r="E2721" s="1" t="s">
        <v>5778</v>
      </c>
      <c r="F2721" s="1" t="str">
        <f>HYPERLINK("https://talan.bank.gov.ua/get-user-certificate/J5325QPn7eC3ApzwBEsU","Завантажити сертифікат")</f>
        <v>Завантажити сертифікат</v>
      </c>
    </row>
    <row r="2722" spans="1:6" ht="28.8" x14ac:dyDescent="0.3">
      <c r="A2722" s="2">
        <v>2721</v>
      </c>
      <c r="B2722" s="1" t="s">
        <v>5779</v>
      </c>
      <c r="C2722" s="1" t="s">
        <v>5710</v>
      </c>
      <c r="D2722" s="1" t="s">
        <v>5711</v>
      </c>
      <c r="E2722" s="1" t="s">
        <v>5780</v>
      </c>
      <c r="F2722" s="1" t="str">
        <f>HYPERLINK("https://talan.bank.gov.ua/get-user-certificate/J5325gDclhmMvvzTiYZ5","Завантажити сертифікат")</f>
        <v>Завантажити сертифікат</v>
      </c>
    </row>
    <row r="2723" spans="1:6" x14ac:dyDescent="0.3">
      <c r="A2723" s="2">
        <v>2722</v>
      </c>
      <c r="B2723" s="1" t="s">
        <v>5781</v>
      </c>
      <c r="C2723" s="1" t="s">
        <v>5710</v>
      </c>
      <c r="D2723" s="1" t="s">
        <v>5711</v>
      </c>
      <c r="E2723" s="1" t="s">
        <v>5782</v>
      </c>
      <c r="F2723" s="1" t="str">
        <f>HYPERLINK("https://talan.bank.gov.ua/get-user-certificate/J5325-7PomtPfaDZf6sr","Завантажити сертифікат")</f>
        <v>Завантажити сертифікат</v>
      </c>
    </row>
    <row r="2724" spans="1:6" x14ac:dyDescent="0.3">
      <c r="A2724" s="2">
        <v>2723</v>
      </c>
      <c r="B2724" s="1" t="s">
        <v>5783</v>
      </c>
      <c r="C2724" s="1" t="s">
        <v>5710</v>
      </c>
      <c r="D2724" s="1" t="s">
        <v>5711</v>
      </c>
      <c r="E2724" s="1" t="s">
        <v>5784</v>
      </c>
      <c r="F2724" s="1" t="str">
        <f>HYPERLINK("https://talan.bank.gov.ua/get-user-certificate/J532569rE9I_z3K1qyuf","Завантажити сертифікат")</f>
        <v>Завантажити сертифікат</v>
      </c>
    </row>
    <row r="2725" spans="1:6" x14ac:dyDescent="0.3">
      <c r="A2725" s="2">
        <v>2724</v>
      </c>
      <c r="B2725" s="1" t="s">
        <v>5785</v>
      </c>
      <c r="C2725" s="1" t="s">
        <v>5710</v>
      </c>
      <c r="D2725" s="1" t="s">
        <v>5711</v>
      </c>
      <c r="E2725" s="1" t="s">
        <v>5786</v>
      </c>
      <c r="F2725" s="1" t="str">
        <f>HYPERLINK("https://talan.bank.gov.ua/get-user-certificate/J5325Q1OuQB4qwEJmvFc","Завантажити сертифікат")</f>
        <v>Завантажити сертифікат</v>
      </c>
    </row>
    <row r="2726" spans="1:6" x14ac:dyDescent="0.3">
      <c r="A2726" s="2">
        <v>2725</v>
      </c>
      <c r="B2726" s="1" t="s">
        <v>5787</v>
      </c>
      <c r="C2726" s="1" t="s">
        <v>5710</v>
      </c>
      <c r="D2726" s="1" t="s">
        <v>5711</v>
      </c>
      <c r="E2726" s="1" t="s">
        <v>5788</v>
      </c>
      <c r="F2726" s="1" t="str">
        <f>HYPERLINK("https://talan.bank.gov.ua/get-user-certificate/J5325Twg5MPpxdOoQw7V","Завантажити сертифікат")</f>
        <v>Завантажити сертифікат</v>
      </c>
    </row>
    <row r="2727" spans="1:6" x14ac:dyDescent="0.3">
      <c r="A2727" s="2">
        <v>2726</v>
      </c>
      <c r="B2727" s="1" t="s">
        <v>5789</v>
      </c>
      <c r="C2727" s="1" t="s">
        <v>5710</v>
      </c>
      <c r="D2727" s="1" t="s">
        <v>5711</v>
      </c>
      <c r="E2727" s="1" t="s">
        <v>5790</v>
      </c>
      <c r="F2727" s="1" t="str">
        <f>HYPERLINK("https://talan.bank.gov.ua/get-user-certificate/J5325xjyfumsLNQ05YVT","Завантажити сертифікат")</f>
        <v>Завантажити сертифікат</v>
      </c>
    </row>
    <row r="2728" spans="1:6" x14ac:dyDescent="0.3">
      <c r="A2728" s="2">
        <v>2727</v>
      </c>
      <c r="B2728" s="1" t="s">
        <v>5791</v>
      </c>
      <c r="C2728" s="1" t="s">
        <v>5710</v>
      </c>
      <c r="D2728" s="1" t="s">
        <v>5711</v>
      </c>
      <c r="E2728" s="1" t="s">
        <v>5792</v>
      </c>
      <c r="F2728" s="1" t="str">
        <f>HYPERLINK("https://talan.bank.gov.ua/get-user-certificate/J5325urghpPBVQ7cE0hE","Завантажити сертифікат")</f>
        <v>Завантажити сертифікат</v>
      </c>
    </row>
    <row r="2729" spans="1:6" x14ac:dyDescent="0.3">
      <c r="A2729" s="2">
        <v>2728</v>
      </c>
      <c r="B2729" s="1" t="s">
        <v>5793</v>
      </c>
      <c r="C2729" s="1" t="s">
        <v>5710</v>
      </c>
      <c r="D2729" s="1" t="s">
        <v>5711</v>
      </c>
      <c r="E2729" s="1" t="s">
        <v>5794</v>
      </c>
      <c r="F2729" s="1" t="str">
        <f>HYPERLINK("https://talan.bank.gov.ua/get-user-certificate/J5325ZgfpKnN8jBN0Tfx","Завантажити сертифікат")</f>
        <v>Завантажити сертифікат</v>
      </c>
    </row>
    <row r="2730" spans="1:6" x14ac:dyDescent="0.3">
      <c r="A2730" s="2">
        <v>2729</v>
      </c>
      <c r="B2730" s="1" t="s">
        <v>5795</v>
      </c>
      <c r="C2730" s="1" t="s">
        <v>5710</v>
      </c>
      <c r="D2730" s="1" t="s">
        <v>5711</v>
      </c>
      <c r="E2730" s="1" t="s">
        <v>5796</v>
      </c>
      <c r="F2730" s="1" t="str">
        <f>HYPERLINK("https://talan.bank.gov.ua/get-user-certificate/J53250MNPEzQrMI6_chW","Завантажити сертифікат")</f>
        <v>Завантажити сертифікат</v>
      </c>
    </row>
    <row r="2731" spans="1:6" ht="28.8" x14ac:dyDescent="0.3">
      <c r="A2731" s="2">
        <v>2730</v>
      </c>
      <c r="B2731" s="1" t="s">
        <v>5797</v>
      </c>
      <c r="C2731" s="1" t="s">
        <v>5710</v>
      </c>
      <c r="D2731" s="1" t="s">
        <v>5711</v>
      </c>
      <c r="E2731" s="1" t="s">
        <v>5798</v>
      </c>
      <c r="F2731" s="1" t="str">
        <f>HYPERLINK("https://talan.bank.gov.ua/get-user-certificate/J5325ZbkDXXAHa_3odmC","Завантажити сертифікат")</f>
        <v>Завантажити сертифікат</v>
      </c>
    </row>
    <row r="2732" spans="1:6" x14ac:dyDescent="0.3">
      <c r="A2732" s="2">
        <v>2731</v>
      </c>
      <c r="B2732" s="1" t="s">
        <v>5799</v>
      </c>
      <c r="C2732" s="1" t="s">
        <v>5710</v>
      </c>
      <c r="D2732" s="1" t="s">
        <v>5711</v>
      </c>
      <c r="E2732" s="1" t="s">
        <v>5800</v>
      </c>
      <c r="F2732" s="1" t="str">
        <f>HYPERLINK("https://talan.bank.gov.ua/get-user-certificate/J5325OM6AG7GWDC3vCC5","Завантажити сертифікат")</f>
        <v>Завантажити сертифікат</v>
      </c>
    </row>
    <row r="2733" spans="1:6" x14ac:dyDescent="0.3">
      <c r="A2733" s="2">
        <v>2732</v>
      </c>
      <c r="B2733" s="1" t="s">
        <v>5801</v>
      </c>
      <c r="C2733" s="1" t="s">
        <v>5710</v>
      </c>
      <c r="D2733" s="1" t="s">
        <v>5711</v>
      </c>
      <c r="E2733" s="1" t="s">
        <v>5802</v>
      </c>
      <c r="F2733" s="1" t="str">
        <f>HYPERLINK("https://talan.bank.gov.ua/get-user-certificate/J5325ZVeJn9SVLB7l8IJ","Завантажити сертифікат")</f>
        <v>Завантажити сертифікат</v>
      </c>
    </row>
    <row r="2734" spans="1:6" x14ac:dyDescent="0.3">
      <c r="A2734" s="2">
        <v>2733</v>
      </c>
      <c r="B2734" s="1" t="s">
        <v>5803</v>
      </c>
      <c r="C2734" s="1" t="s">
        <v>5710</v>
      </c>
      <c r="D2734" s="1" t="s">
        <v>5711</v>
      </c>
      <c r="E2734" s="1" t="s">
        <v>5804</v>
      </c>
      <c r="F2734" s="1" t="str">
        <f>HYPERLINK("https://talan.bank.gov.ua/get-user-certificate/J5325her8CuiNiUT3Y_A","Завантажити сертифікат")</f>
        <v>Завантажити сертифікат</v>
      </c>
    </row>
    <row r="2735" spans="1:6" x14ac:dyDescent="0.3">
      <c r="A2735" s="2">
        <v>2734</v>
      </c>
      <c r="B2735" s="1" t="s">
        <v>5805</v>
      </c>
      <c r="C2735" s="1" t="s">
        <v>5710</v>
      </c>
      <c r="D2735" s="1" t="s">
        <v>5711</v>
      </c>
      <c r="E2735" s="1" t="s">
        <v>5806</v>
      </c>
      <c r="F2735" s="1" t="str">
        <f>HYPERLINK("https://talan.bank.gov.ua/get-user-certificate/J5325F4lFZLU0dOrnae3","Завантажити сертифікат")</f>
        <v>Завантажити сертифікат</v>
      </c>
    </row>
    <row r="2736" spans="1:6" x14ac:dyDescent="0.3">
      <c r="A2736" s="2">
        <v>2735</v>
      </c>
      <c r="B2736" s="1" t="s">
        <v>5807</v>
      </c>
      <c r="C2736" s="1" t="s">
        <v>5710</v>
      </c>
      <c r="D2736" s="1" t="s">
        <v>5711</v>
      </c>
      <c r="E2736" s="1" t="s">
        <v>5808</v>
      </c>
      <c r="F2736" s="1" t="str">
        <f>HYPERLINK("https://talan.bank.gov.ua/get-user-certificate/J53256MXNg3S3_l2hqoj","Завантажити сертифікат")</f>
        <v>Завантажити сертифікат</v>
      </c>
    </row>
    <row r="2737" spans="1:6" x14ac:dyDescent="0.3">
      <c r="A2737" s="2">
        <v>2736</v>
      </c>
      <c r="B2737" s="1" t="s">
        <v>5809</v>
      </c>
      <c r="C2737" s="1" t="s">
        <v>5710</v>
      </c>
      <c r="D2737" s="1" t="s">
        <v>5711</v>
      </c>
      <c r="E2737" s="1" t="s">
        <v>5810</v>
      </c>
      <c r="F2737" s="1" t="str">
        <f>HYPERLINK("https://talan.bank.gov.ua/get-user-certificate/J5325xYEL2upOr5fzljZ","Завантажити сертифікат")</f>
        <v>Завантажити сертифікат</v>
      </c>
    </row>
    <row r="2738" spans="1:6" x14ac:dyDescent="0.3">
      <c r="A2738" s="2">
        <v>2737</v>
      </c>
      <c r="B2738" s="1" t="s">
        <v>5811</v>
      </c>
      <c r="C2738" s="1" t="s">
        <v>5710</v>
      </c>
      <c r="D2738" s="1" t="s">
        <v>5711</v>
      </c>
      <c r="E2738" s="1" t="s">
        <v>5812</v>
      </c>
      <c r="F2738" s="1" t="str">
        <f>HYPERLINK("https://talan.bank.gov.ua/get-user-certificate/J5325KRplFGBRgamD63G","Завантажити сертифікат")</f>
        <v>Завантажити сертифікат</v>
      </c>
    </row>
    <row r="2739" spans="1:6" x14ac:dyDescent="0.3">
      <c r="A2739" s="2">
        <v>2738</v>
      </c>
      <c r="B2739" s="1" t="s">
        <v>5813</v>
      </c>
      <c r="C2739" s="1" t="s">
        <v>5710</v>
      </c>
      <c r="D2739" s="1" t="s">
        <v>5711</v>
      </c>
      <c r="E2739" s="1" t="s">
        <v>5814</v>
      </c>
      <c r="F2739" s="1" t="str">
        <f>HYPERLINK("https://talan.bank.gov.ua/get-user-certificate/J5325LuRQqbRGIZGpiIW","Завантажити сертифікат")</f>
        <v>Завантажити сертифікат</v>
      </c>
    </row>
    <row r="2740" spans="1:6" x14ac:dyDescent="0.3">
      <c r="A2740" s="2">
        <v>2739</v>
      </c>
      <c r="B2740" s="1" t="s">
        <v>5815</v>
      </c>
      <c r="C2740" s="1" t="s">
        <v>5710</v>
      </c>
      <c r="D2740" s="1" t="s">
        <v>5711</v>
      </c>
      <c r="E2740" s="1" t="s">
        <v>5816</v>
      </c>
      <c r="F2740" s="1" t="str">
        <f>HYPERLINK("https://talan.bank.gov.ua/get-user-certificate/J5325OfMEYhl8daMkVyU","Завантажити сертифікат")</f>
        <v>Завантажити сертифікат</v>
      </c>
    </row>
    <row r="2741" spans="1:6" x14ac:dyDescent="0.3">
      <c r="A2741" s="2">
        <v>2740</v>
      </c>
      <c r="B2741" s="1" t="s">
        <v>5817</v>
      </c>
      <c r="C2741" s="1" t="s">
        <v>5710</v>
      </c>
      <c r="D2741" s="1" t="s">
        <v>5711</v>
      </c>
      <c r="E2741" s="1" t="s">
        <v>5818</v>
      </c>
      <c r="F2741" s="1" t="str">
        <f>HYPERLINK("https://talan.bank.gov.ua/get-user-certificate/J5325-KZ1cjLRsV92tjI","Завантажити сертифікат")</f>
        <v>Завантажити сертифікат</v>
      </c>
    </row>
    <row r="2742" spans="1:6" x14ac:dyDescent="0.3">
      <c r="A2742" s="2">
        <v>2741</v>
      </c>
      <c r="B2742" s="1" t="s">
        <v>5819</v>
      </c>
      <c r="C2742" s="1" t="s">
        <v>5710</v>
      </c>
      <c r="D2742" s="1" t="s">
        <v>5711</v>
      </c>
      <c r="E2742" s="1" t="s">
        <v>5820</v>
      </c>
      <c r="F2742" s="1" t="str">
        <f>HYPERLINK("https://talan.bank.gov.ua/get-user-certificate/J5325nqirjCBjQsqHVYo","Завантажити сертифікат")</f>
        <v>Завантажити сертифікат</v>
      </c>
    </row>
    <row r="2743" spans="1:6" ht="28.8" x14ac:dyDescent="0.3">
      <c r="A2743" s="2">
        <v>2742</v>
      </c>
      <c r="B2743" s="1" t="s">
        <v>5821</v>
      </c>
      <c r="C2743" s="1" t="s">
        <v>5710</v>
      </c>
      <c r="D2743" s="1" t="s">
        <v>5711</v>
      </c>
      <c r="E2743" s="1" t="s">
        <v>5822</v>
      </c>
      <c r="F2743" s="1" t="str">
        <f>HYPERLINK("https://talan.bank.gov.ua/get-user-certificate/J5325Q-Hsh-_MWPgjpQ8","Завантажити сертифікат")</f>
        <v>Завантажити сертифікат</v>
      </c>
    </row>
    <row r="2744" spans="1:6" x14ac:dyDescent="0.3">
      <c r="A2744" s="2">
        <v>2743</v>
      </c>
      <c r="B2744" s="1" t="s">
        <v>5823</v>
      </c>
      <c r="C2744" s="1" t="s">
        <v>5710</v>
      </c>
      <c r="D2744" s="1" t="s">
        <v>5711</v>
      </c>
      <c r="E2744" s="1" t="s">
        <v>5824</v>
      </c>
      <c r="F2744" s="1" t="str">
        <f>HYPERLINK("https://talan.bank.gov.ua/get-user-certificate/J5325PI47ELaefqyVpVe","Завантажити сертифікат")</f>
        <v>Завантажити сертифікат</v>
      </c>
    </row>
    <row r="2745" spans="1:6" x14ac:dyDescent="0.3">
      <c r="A2745" s="2">
        <v>2744</v>
      </c>
      <c r="B2745" s="1" t="s">
        <v>5825</v>
      </c>
      <c r="C2745" s="1" t="s">
        <v>5710</v>
      </c>
      <c r="D2745" s="1" t="s">
        <v>5711</v>
      </c>
      <c r="E2745" s="1" t="s">
        <v>5826</v>
      </c>
      <c r="F2745" s="1" t="str">
        <f>HYPERLINK("https://talan.bank.gov.ua/get-user-certificate/J5325Wx9uZj8a91JfduU","Завантажити сертифікат")</f>
        <v>Завантажити сертифікат</v>
      </c>
    </row>
    <row r="2746" spans="1:6" x14ac:dyDescent="0.3">
      <c r="A2746" s="2">
        <v>2745</v>
      </c>
      <c r="B2746" s="1" t="s">
        <v>5827</v>
      </c>
      <c r="C2746" s="1" t="s">
        <v>5710</v>
      </c>
      <c r="D2746" s="1" t="s">
        <v>5711</v>
      </c>
      <c r="E2746" s="1" t="s">
        <v>5828</v>
      </c>
      <c r="F2746" s="1" t="str">
        <f>HYPERLINK("https://talan.bank.gov.ua/get-user-certificate/J5325Hwc2cIlZHy6S4al","Завантажити сертифікат")</f>
        <v>Завантажити сертифікат</v>
      </c>
    </row>
    <row r="2747" spans="1:6" x14ac:dyDescent="0.3">
      <c r="A2747" s="2">
        <v>2746</v>
      </c>
      <c r="B2747" s="1" t="s">
        <v>5829</v>
      </c>
      <c r="C2747" s="1" t="s">
        <v>5830</v>
      </c>
      <c r="D2747" s="1" t="s">
        <v>5831</v>
      </c>
      <c r="E2747" s="1" t="s">
        <v>5832</v>
      </c>
      <c r="F2747" s="1" t="str">
        <f>HYPERLINK("https://talan.bank.gov.ua/get-user-certificate/J5325tDDZyMtpHtYuffk","Завантажити сертифікат")</f>
        <v>Завантажити сертифікат</v>
      </c>
    </row>
    <row r="2748" spans="1:6" x14ac:dyDescent="0.3">
      <c r="A2748" s="2">
        <v>2747</v>
      </c>
      <c r="B2748" s="1" t="s">
        <v>5833</v>
      </c>
      <c r="C2748" s="1" t="s">
        <v>5830</v>
      </c>
      <c r="D2748" s="1" t="s">
        <v>5831</v>
      </c>
      <c r="E2748" s="1" t="s">
        <v>5834</v>
      </c>
      <c r="F2748" s="1" t="str">
        <f>HYPERLINK("https://talan.bank.gov.ua/get-user-certificate/J5325ta56_ZfxlE3z5MD","Завантажити сертифікат")</f>
        <v>Завантажити сертифікат</v>
      </c>
    </row>
    <row r="2749" spans="1:6" x14ac:dyDescent="0.3">
      <c r="A2749" s="2">
        <v>2748</v>
      </c>
      <c r="B2749" s="1" t="s">
        <v>5835</v>
      </c>
      <c r="C2749" s="1" t="s">
        <v>5830</v>
      </c>
      <c r="D2749" s="1" t="s">
        <v>5831</v>
      </c>
      <c r="E2749" s="1" t="s">
        <v>5836</v>
      </c>
      <c r="F2749" s="1" t="str">
        <f>HYPERLINK("https://talan.bank.gov.ua/get-user-certificate/J5325ALglk9iQz8ObtIK","Завантажити сертифікат")</f>
        <v>Завантажити сертифікат</v>
      </c>
    </row>
    <row r="2750" spans="1:6" x14ac:dyDescent="0.3">
      <c r="A2750" s="2">
        <v>2749</v>
      </c>
      <c r="B2750" s="1" t="s">
        <v>5837</v>
      </c>
      <c r="C2750" s="1" t="s">
        <v>5830</v>
      </c>
      <c r="D2750" s="1" t="s">
        <v>5831</v>
      </c>
      <c r="E2750" s="1" t="s">
        <v>5838</v>
      </c>
      <c r="F2750" s="1" t="str">
        <f>HYPERLINK("https://talan.bank.gov.ua/get-user-certificate/J5325ynatQeUQNGQbl0h","Завантажити сертифікат")</f>
        <v>Завантажити сертифікат</v>
      </c>
    </row>
    <row r="2751" spans="1:6" x14ac:dyDescent="0.3">
      <c r="A2751" s="2">
        <v>2750</v>
      </c>
      <c r="B2751" s="1" t="s">
        <v>5839</v>
      </c>
      <c r="C2751" s="1" t="s">
        <v>5830</v>
      </c>
      <c r="D2751" s="1" t="s">
        <v>5831</v>
      </c>
      <c r="E2751" s="1" t="s">
        <v>5840</v>
      </c>
      <c r="F2751" s="1" t="str">
        <f>HYPERLINK("https://talan.bank.gov.ua/get-user-certificate/J5325mM8PqREfDiWdl61","Завантажити сертифікат")</f>
        <v>Завантажити сертифікат</v>
      </c>
    </row>
    <row r="2752" spans="1:6" x14ac:dyDescent="0.3">
      <c r="A2752" s="2">
        <v>2751</v>
      </c>
      <c r="B2752" s="1" t="s">
        <v>5841</v>
      </c>
      <c r="C2752" s="1" t="s">
        <v>5830</v>
      </c>
      <c r="D2752" s="1" t="s">
        <v>5831</v>
      </c>
      <c r="E2752" s="1" t="s">
        <v>5842</v>
      </c>
      <c r="F2752" s="1" t="str">
        <f>HYPERLINK("https://talan.bank.gov.ua/get-user-certificate/J5325x2DGWaySaQUXkkP","Завантажити сертифікат")</f>
        <v>Завантажити сертифікат</v>
      </c>
    </row>
    <row r="2753" spans="1:6" x14ac:dyDescent="0.3">
      <c r="A2753" s="2">
        <v>2752</v>
      </c>
      <c r="B2753" s="1" t="s">
        <v>5843</v>
      </c>
      <c r="C2753" s="1" t="s">
        <v>5830</v>
      </c>
      <c r="D2753" s="1" t="s">
        <v>5831</v>
      </c>
      <c r="E2753" s="1" t="s">
        <v>5844</v>
      </c>
      <c r="F2753" s="1" t="str">
        <f>HYPERLINK("https://talan.bank.gov.ua/get-user-certificate/J5325ZHZmOsQF4mWldXm","Завантажити сертифікат")</f>
        <v>Завантажити сертифікат</v>
      </c>
    </row>
    <row r="2754" spans="1:6" x14ac:dyDescent="0.3">
      <c r="A2754" s="2">
        <v>2753</v>
      </c>
      <c r="B2754" s="1" t="s">
        <v>5845</v>
      </c>
      <c r="C2754" s="1" t="s">
        <v>5830</v>
      </c>
      <c r="D2754" s="1" t="s">
        <v>5831</v>
      </c>
      <c r="E2754" s="1" t="s">
        <v>5846</v>
      </c>
      <c r="F2754" s="1" t="str">
        <f>HYPERLINK("https://talan.bank.gov.ua/get-user-certificate/J53257OfGC_GK_rfji-U","Завантажити сертифікат")</f>
        <v>Завантажити сертифікат</v>
      </c>
    </row>
    <row r="2755" spans="1:6" x14ac:dyDescent="0.3">
      <c r="A2755" s="2">
        <v>2754</v>
      </c>
      <c r="B2755" s="1" t="s">
        <v>5847</v>
      </c>
      <c r="C2755" s="1" t="s">
        <v>5830</v>
      </c>
      <c r="D2755" s="1" t="s">
        <v>5831</v>
      </c>
      <c r="E2755" s="1" t="s">
        <v>5848</v>
      </c>
      <c r="F2755" s="1" t="str">
        <f>HYPERLINK("https://talan.bank.gov.ua/get-user-certificate/J532538YeD6IIy4BDir0","Завантажити сертифікат")</f>
        <v>Завантажити сертифікат</v>
      </c>
    </row>
    <row r="2756" spans="1:6" x14ac:dyDescent="0.3">
      <c r="A2756" s="2">
        <v>2755</v>
      </c>
      <c r="B2756" s="1" t="s">
        <v>5849</v>
      </c>
      <c r="C2756" s="1" t="s">
        <v>5830</v>
      </c>
      <c r="D2756" s="1" t="s">
        <v>5831</v>
      </c>
      <c r="E2756" s="1" t="s">
        <v>5850</v>
      </c>
      <c r="F2756" s="1" t="str">
        <f>HYPERLINK("https://talan.bank.gov.ua/get-user-certificate/J5325BZ8MoEJCd-untVm","Завантажити сертифікат")</f>
        <v>Завантажити сертифікат</v>
      </c>
    </row>
    <row r="2757" spans="1:6" x14ac:dyDescent="0.3">
      <c r="A2757" s="2">
        <v>2756</v>
      </c>
      <c r="B2757" s="1" t="s">
        <v>5851</v>
      </c>
      <c r="C2757" s="1" t="s">
        <v>5830</v>
      </c>
      <c r="D2757" s="1" t="s">
        <v>5831</v>
      </c>
      <c r="E2757" s="1" t="s">
        <v>5852</v>
      </c>
      <c r="F2757" s="1" t="str">
        <f>HYPERLINK("https://talan.bank.gov.ua/get-user-certificate/J5325bkLCLXa_dPEOLUE","Завантажити сертифікат")</f>
        <v>Завантажити сертифікат</v>
      </c>
    </row>
    <row r="2758" spans="1:6" x14ac:dyDescent="0.3">
      <c r="A2758" s="2">
        <v>2757</v>
      </c>
      <c r="B2758" s="1" t="s">
        <v>5853</v>
      </c>
      <c r="C2758" s="1" t="s">
        <v>5830</v>
      </c>
      <c r="D2758" s="1" t="s">
        <v>5831</v>
      </c>
      <c r="E2758" s="1" t="s">
        <v>5854</v>
      </c>
      <c r="F2758" s="1" t="str">
        <f>HYPERLINK("https://talan.bank.gov.ua/get-user-certificate/J5325MuD7rff6ouaAkAy","Завантажити сертифікат")</f>
        <v>Завантажити сертифікат</v>
      </c>
    </row>
    <row r="2759" spans="1:6" x14ac:dyDescent="0.3">
      <c r="A2759" s="2">
        <v>2758</v>
      </c>
      <c r="B2759" s="1" t="s">
        <v>5855</v>
      </c>
      <c r="C2759" s="1" t="s">
        <v>5830</v>
      </c>
      <c r="D2759" s="1" t="s">
        <v>5831</v>
      </c>
      <c r="E2759" s="1" t="s">
        <v>5856</v>
      </c>
      <c r="F2759" s="1" t="str">
        <f>HYPERLINK("https://talan.bank.gov.ua/get-user-certificate/J5325gfDN7Lje6GubCHS","Завантажити сертифікат")</f>
        <v>Завантажити сертифікат</v>
      </c>
    </row>
    <row r="2760" spans="1:6" x14ac:dyDescent="0.3">
      <c r="A2760" s="2">
        <v>2759</v>
      </c>
      <c r="B2760" s="1" t="s">
        <v>5857</v>
      </c>
      <c r="C2760" s="1" t="s">
        <v>5830</v>
      </c>
      <c r="D2760" s="1" t="s">
        <v>5831</v>
      </c>
      <c r="E2760" s="1" t="s">
        <v>5858</v>
      </c>
      <c r="F2760" s="1" t="str">
        <f>HYPERLINK("https://talan.bank.gov.ua/get-user-certificate/J5325QTmwwkaheVPFRMF","Завантажити сертифікат")</f>
        <v>Завантажити сертифікат</v>
      </c>
    </row>
    <row r="2761" spans="1:6" x14ac:dyDescent="0.3">
      <c r="A2761" s="2">
        <v>2760</v>
      </c>
      <c r="B2761" s="1" t="s">
        <v>5859</v>
      </c>
      <c r="C2761" s="1" t="s">
        <v>5830</v>
      </c>
      <c r="D2761" s="1" t="s">
        <v>5831</v>
      </c>
      <c r="E2761" s="1" t="s">
        <v>5860</v>
      </c>
      <c r="F2761" s="1" t="str">
        <f>HYPERLINK("https://talan.bank.gov.ua/get-user-certificate/J5325xHfUZmN9Ml20k7z","Завантажити сертифікат")</f>
        <v>Завантажити сертифікат</v>
      </c>
    </row>
    <row r="2762" spans="1:6" x14ac:dyDescent="0.3">
      <c r="A2762" s="2">
        <v>2761</v>
      </c>
      <c r="B2762" s="1" t="s">
        <v>5861</v>
      </c>
      <c r="C2762" s="1" t="s">
        <v>5830</v>
      </c>
      <c r="D2762" s="1" t="s">
        <v>5831</v>
      </c>
      <c r="E2762" s="1" t="s">
        <v>5862</v>
      </c>
      <c r="F2762" s="1" t="str">
        <f>HYPERLINK("https://talan.bank.gov.ua/get-user-certificate/J5325HVuOc2B_mt0uGLC","Завантажити сертифікат")</f>
        <v>Завантажити сертифікат</v>
      </c>
    </row>
    <row r="2763" spans="1:6" x14ac:dyDescent="0.3">
      <c r="A2763" s="2">
        <v>2762</v>
      </c>
      <c r="B2763" s="1" t="s">
        <v>5863</v>
      </c>
      <c r="C2763" s="1" t="s">
        <v>5830</v>
      </c>
      <c r="D2763" s="1" t="s">
        <v>5831</v>
      </c>
      <c r="E2763" s="1" t="s">
        <v>5864</v>
      </c>
      <c r="F2763" s="1" t="str">
        <f>HYPERLINK("https://talan.bank.gov.ua/get-user-certificate/J5325nqBlpFLhaKkYKYz","Завантажити сертифікат")</f>
        <v>Завантажити сертифікат</v>
      </c>
    </row>
    <row r="2764" spans="1:6" x14ac:dyDescent="0.3">
      <c r="A2764" s="2">
        <v>2763</v>
      </c>
      <c r="B2764" s="1" t="s">
        <v>5865</v>
      </c>
      <c r="C2764" s="1" t="s">
        <v>5830</v>
      </c>
      <c r="D2764" s="1" t="s">
        <v>5831</v>
      </c>
      <c r="E2764" s="1" t="s">
        <v>5866</v>
      </c>
      <c r="F2764" s="1" t="str">
        <f>HYPERLINK("https://talan.bank.gov.ua/get-user-certificate/J5325YRPszBz-hqj9z7k","Завантажити сертифікат")</f>
        <v>Завантажити сертифікат</v>
      </c>
    </row>
    <row r="2765" spans="1:6" x14ac:dyDescent="0.3">
      <c r="A2765" s="2">
        <v>2764</v>
      </c>
      <c r="B2765" s="1" t="s">
        <v>5867</v>
      </c>
      <c r="C2765" s="1" t="s">
        <v>5830</v>
      </c>
      <c r="D2765" s="1" t="s">
        <v>5831</v>
      </c>
      <c r="E2765" s="1" t="s">
        <v>5868</v>
      </c>
      <c r="F2765" s="1" t="str">
        <f>HYPERLINK("https://talan.bank.gov.ua/get-user-certificate/J53255YL5O_FownN1kAo","Завантажити сертифікат")</f>
        <v>Завантажити сертифікат</v>
      </c>
    </row>
    <row r="2766" spans="1:6" x14ac:dyDescent="0.3">
      <c r="A2766" s="2">
        <v>2765</v>
      </c>
      <c r="B2766" s="1" t="s">
        <v>5869</v>
      </c>
      <c r="C2766" s="1" t="s">
        <v>5830</v>
      </c>
      <c r="D2766" s="1" t="s">
        <v>5831</v>
      </c>
      <c r="E2766" s="1" t="s">
        <v>5870</v>
      </c>
      <c r="F2766" s="1" t="str">
        <f>HYPERLINK("https://talan.bank.gov.ua/get-user-certificate/J53254XMvL1rER17SsCn","Завантажити сертифікат")</f>
        <v>Завантажити сертифікат</v>
      </c>
    </row>
    <row r="2767" spans="1:6" x14ac:dyDescent="0.3">
      <c r="A2767" s="2">
        <v>2766</v>
      </c>
      <c r="B2767" s="1" t="s">
        <v>5871</v>
      </c>
      <c r="C2767" s="1" t="s">
        <v>5830</v>
      </c>
      <c r="D2767" s="1" t="s">
        <v>5831</v>
      </c>
      <c r="E2767" s="1" t="s">
        <v>5872</v>
      </c>
      <c r="F2767" s="1" t="str">
        <f>HYPERLINK("https://talan.bank.gov.ua/get-user-certificate/J5325wxKQS2S1mOvc6x6","Завантажити сертифікат")</f>
        <v>Завантажити сертифікат</v>
      </c>
    </row>
    <row r="2768" spans="1:6" x14ac:dyDescent="0.3">
      <c r="A2768" s="2">
        <v>2767</v>
      </c>
      <c r="B2768" s="1" t="s">
        <v>5873</v>
      </c>
      <c r="C2768" s="1" t="s">
        <v>5830</v>
      </c>
      <c r="D2768" s="1" t="s">
        <v>5831</v>
      </c>
      <c r="E2768" s="1" t="s">
        <v>5874</v>
      </c>
      <c r="F2768" s="1" t="str">
        <f>HYPERLINK("https://talan.bank.gov.ua/get-user-certificate/J5325BxEaIcvOymMUrPB","Завантажити сертифікат")</f>
        <v>Завантажити сертифікат</v>
      </c>
    </row>
    <row r="2769" spans="1:6" x14ac:dyDescent="0.3">
      <c r="A2769" s="2">
        <v>2768</v>
      </c>
      <c r="B2769" s="1" t="s">
        <v>5875</v>
      </c>
      <c r="C2769" s="1" t="s">
        <v>5830</v>
      </c>
      <c r="D2769" s="1" t="s">
        <v>5831</v>
      </c>
      <c r="E2769" s="1" t="s">
        <v>5876</v>
      </c>
      <c r="F2769" s="1" t="str">
        <f>HYPERLINK("https://talan.bank.gov.ua/get-user-certificate/J5325N7ziPz-_6E1lMNW","Завантажити сертифікат")</f>
        <v>Завантажити сертифікат</v>
      </c>
    </row>
    <row r="2770" spans="1:6" x14ac:dyDescent="0.3">
      <c r="A2770" s="2">
        <v>2769</v>
      </c>
      <c r="B2770" s="1" t="s">
        <v>5877</v>
      </c>
      <c r="C2770" s="1" t="s">
        <v>5830</v>
      </c>
      <c r="D2770" s="1" t="s">
        <v>5831</v>
      </c>
      <c r="E2770" s="1" t="s">
        <v>5878</v>
      </c>
      <c r="F2770" s="1" t="str">
        <f>HYPERLINK("https://talan.bank.gov.ua/get-user-certificate/J5325ylEC98DolzMLSdd","Завантажити сертифікат")</f>
        <v>Завантажити сертифікат</v>
      </c>
    </row>
    <row r="2771" spans="1:6" x14ac:dyDescent="0.3">
      <c r="A2771" s="2">
        <v>2770</v>
      </c>
      <c r="B2771" s="1" t="s">
        <v>5879</v>
      </c>
      <c r="C2771" s="1" t="s">
        <v>5830</v>
      </c>
      <c r="D2771" s="1" t="s">
        <v>5831</v>
      </c>
      <c r="E2771" s="1" t="s">
        <v>5880</v>
      </c>
      <c r="F2771" s="1" t="str">
        <f>HYPERLINK("https://talan.bank.gov.ua/get-user-certificate/J5325nDuXXH91B0lVeaw","Завантажити сертифікат")</f>
        <v>Завантажити сертифікат</v>
      </c>
    </row>
    <row r="2772" spans="1:6" x14ac:dyDescent="0.3">
      <c r="A2772" s="2">
        <v>2771</v>
      </c>
      <c r="B2772" s="1" t="s">
        <v>5881</v>
      </c>
      <c r="C2772" s="1" t="s">
        <v>5830</v>
      </c>
      <c r="D2772" s="1" t="s">
        <v>5831</v>
      </c>
      <c r="E2772" s="1" t="s">
        <v>5882</v>
      </c>
      <c r="F2772" s="1" t="str">
        <f>HYPERLINK("https://talan.bank.gov.ua/get-user-certificate/J5325qyYmz8MeD7bp6VL","Завантажити сертифікат")</f>
        <v>Завантажити сертифікат</v>
      </c>
    </row>
    <row r="2773" spans="1:6" x14ac:dyDescent="0.3">
      <c r="A2773" s="2">
        <v>2772</v>
      </c>
      <c r="B2773" s="1" t="s">
        <v>5883</v>
      </c>
      <c r="C2773" s="1" t="s">
        <v>5830</v>
      </c>
      <c r="D2773" s="1" t="s">
        <v>5831</v>
      </c>
      <c r="E2773" s="1" t="s">
        <v>5884</v>
      </c>
      <c r="F2773" s="1" t="str">
        <f>HYPERLINK("https://talan.bank.gov.ua/get-user-certificate/J5325PV87nyydRpU1msw","Завантажити сертифікат")</f>
        <v>Завантажити сертифікат</v>
      </c>
    </row>
    <row r="2774" spans="1:6" x14ac:dyDescent="0.3">
      <c r="A2774" s="2">
        <v>2773</v>
      </c>
      <c r="B2774" s="1" t="s">
        <v>5885</v>
      </c>
      <c r="C2774" s="1" t="s">
        <v>5830</v>
      </c>
      <c r="D2774" s="1" t="s">
        <v>5831</v>
      </c>
      <c r="E2774" s="1" t="s">
        <v>5886</v>
      </c>
      <c r="F2774" s="1" t="str">
        <f>HYPERLINK("https://talan.bank.gov.ua/get-user-certificate/J5325ArWrrqjX7Z90UeE","Завантажити сертифікат")</f>
        <v>Завантажити сертифікат</v>
      </c>
    </row>
    <row r="2775" spans="1:6" x14ac:dyDescent="0.3">
      <c r="A2775" s="2">
        <v>2774</v>
      </c>
      <c r="B2775" s="1" t="s">
        <v>5887</v>
      </c>
      <c r="C2775" s="1" t="s">
        <v>5830</v>
      </c>
      <c r="D2775" s="1" t="s">
        <v>5831</v>
      </c>
      <c r="E2775" s="1" t="s">
        <v>5888</v>
      </c>
      <c r="F2775" s="1" t="str">
        <f>HYPERLINK("https://talan.bank.gov.ua/get-user-certificate/J5325BFZCQWColKE8d3f","Завантажити сертифікат")</f>
        <v>Завантажити сертифікат</v>
      </c>
    </row>
    <row r="2776" spans="1:6" x14ac:dyDescent="0.3">
      <c r="A2776" s="2">
        <v>2775</v>
      </c>
      <c r="B2776" s="1" t="s">
        <v>5889</v>
      </c>
      <c r="C2776" s="1" t="s">
        <v>5830</v>
      </c>
      <c r="D2776" s="1" t="s">
        <v>5831</v>
      </c>
      <c r="E2776" s="1" t="s">
        <v>5890</v>
      </c>
      <c r="F2776" s="1" t="str">
        <f>HYPERLINK("https://talan.bank.gov.ua/get-user-certificate/J5325KbmJqOBUa60SN4B","Завантажити сертифікат")</f>
        <v>Завантажити сертифікат</v>
      </c>
    </row>
    <row r="2777" spans="1:6" x14ac:dyDescent="0.3">
      <c r="A2777" s="2">
        <v>2776</v>
      </c>
      <c r="B2777" s="1" t="s">
        <v>5891</v>
      </c>
      <c r="C2777" s="1" t="s">
        <v>5830</v>
      </c>
      <c r="D2777" s="1" t="s">
        <v>5831</v>
      </c>
      <c r="E2777" s="1" t="s">
        <v>5892</v>
      </c>
      <c r="F2777" s="1" t="str">
        <f>HYPERLINK("https://talan.bank.gov.ua/get-user-certificate/J532560bX0YabcB9F1dr","Завантажити сертифікат")</f>
        <v>Завантажити сертифікат</v>
      </c>
    </row>
    <row r="2778" spans="1:6" x14ac:dyDescent="0.3">
      <c r="A2778" s="2">
        <v>2777</v>
      </c>
      <c r="B2778" s="1" t="s">
        <v>5893</v>
      </c>
      <c r="C2778" s="1" t="s">
        <v>5830</v>
      </c>
      <c r="D2778" s="1" t="s">
        <v>5831</v>
      </c>
      <c r="E2778" s="1" t="s">
        <v>5894</v>
      </c>
      <c r="F2778" s="1" t="str">
        <f>HYPERLINK("https://talan.bank.gov.ua/get-user-certificate/J5325vR83fZLuJRSBSLi","Завантажити сертифікат")</f>
        <v>Завантажити сертифікат</v>
      </c>
    </row>
    <row r="2779" spans="1:6" x14ac:dyDescent="0.3">
      <c r="A2779" s="2">
        <v>2778</v>
      </c>
      <c r="B2779" s="1" t="s">
        <v>5895</v>
      </c>
      <c r="C2779" s="1" t="s">
        <v>5830</v>
      </c>
      <c r="D2779" s="1" t="s">
        <v>5831</v>
      </c>
      <c r="E2779" s="1" t="s">
        <v>5896</v>
      </c>
      <c r="F2779" s="1" t="str">
        <f>HYPERLINK("https://talan.bank.gov.ua/get-user-certificate/J5325q2UO8O_NcdAkVNL","Завантажити сертифікат")</f>
        <v>Завантажити сертифікат</v>
      </c>
    </row>
    <row r="2780" spans="1:6" x14ac:dyDescent="0.3">
      <c r="A2780" s="2">
        <v>2779</v>
      </c>
      <c r="B2780" s="1" t="s">
        <v>5897</v>
      </c>
      <c r="C2780" s="1" t="s">
        <v>5830</v>
      </c>
      <c r="D2780" s="1" t="s">
        <v>5831</v>
      </c>
      <c r="E2780" s="1" t="s">
        <v>5898</v>
      </c>
      <c r="F2780" s="1" t="str">
        <f>HYPERLINK("https://talan.bank.gov.ua/get-user-certificate/J53258f4T4rFc7ZaPbhA","Завантажити сертифікат")</f>
        <v>Завантажити сертифікат</v>
      </c>
    </row>
    <row r="2781" spans="1:6" x14ac:dyDescent="0.3">
      <c r="A2781" s="2">
        <v>2780</v>
      </c>
      <c r="B2781" s="1" t="s">
        <v>5899</v>
      </c>
      <c r="C2781" s="1" t="s">
        <v>5830</v>
      </c>
      <c r="D2781" s="1" t="s">
        <v>5831</v>
      </c>
      <c r="E2781" s="1" t="s">
        <v>5900</v>
      </c>
      <c r="F2781" s="1" t="str">
        <f>HYPERLINK("https://talan.bank.gov.ua/get-user-certificate/J5325JETRvWGC53gFqUk","Завантажити сертифікат")</f>
        <v>Завантажити сертифікат</v>
      </c>
    </row>
    <row r="2782" spans="1:6" x14ac:dyDescent="0.3">
      <c r="A2782" s="2">
        <v>2781</v>
      </c>
      <c r="B2782" s="1" t="s">
        <v>5901</v>
      </c>
      <c r="C2782" s="1" t="s">
        <v>5830</v>
      </c>
      <c r="D2782" s="1" t="s">
        <v>5831</v>
      </c>
      <c r="E2782" s="1" t="s">
        <v>5902</v>
      </c>
      <c r="F2782" s="1" t="str">
        <f>HYPERLINK("https://talan.bank.gov.ua/get-user-certificate/J5325vAwnu8rf9mumPic","Завантажити сертифікат")</f>
        <v>Завантажити сертифікат</v>
      </c>
    </row>
    <row r="2783" spans="1:6" x14ac:dyDescent="0.3">
      <c r="A2783" s="2">
        <v>2782</v>
      </c>
      <c r="B2783" s="1" t="s">
        <v>5903</v>
      </c>
      <c r="C2783" s="1" t="s">
        <v>5830</v>
      </c>
      <c r="D2783" s="1" t="s">
        <v>5831</v>
      </c>
      <c r="E2783" s="1" t="s">
        <v>5904</v>
      </c>
      <c r="F2783" s="1" t="str">
        <f>HYPERLINK("https://talan.bank.gov.ua/get-user-certificate/J5325G29HMaM-OmjTp8N","Завантажити сертифікат")</f>
        <v>Завантажити сертифікат</v>
      </c>
    </row>
    <row r="2784" spans="1:6" x14ac:dyDescent="0.3">
      <c r="A2784" s="2">
        <v>2783</v>
      </c>
      <c r="B2784" s="1" t="s">
        <v>5905</v>
      </c>
      <c r="C2784" s="1" t="s">
        <v>5830</v>
      </c>
      <c r="D2784" s="1" t="s">
        <v>5831</v>
      </c>
      <c r="E2784" s="1" t="s">
        <v>5906</v>
      </c>
      <c r="F2784" s="1" t="str">
        <f>HYPERLINK("https://talan.bank.gov.ua/get-user-certificate/J5325UMR4FC3mt8YGD68","Завантажити сертифікат")</f>
        <v>Завантажити сертифікат</v>
      </c>
    </row>
    <row r="2785" spans="1:6" x14ac:dyDescent="0.3">
      <c r="A2785" s="2">
        <v>2784</v>
      </c>
      <c r="B2785" s="1" t="s">
        <v>5907</v>
      </c>
      <c r="C2785" s="1" t="s">
        <v>5830</v>
      </c>
      <c r="D2785" s="1" t="s">
        <v>5831</v>
      </c>
      <c r="E2785" s="1" t="s">
        <v>5908</v>
      </c>
      <c r="F2785" s="1" t="str">
        <f>HYPERLINK("https://talan.bank.gov.ua/get-user-certificate/J5325D0CwEEHN9ZLwEpk","Завантажити сертифікат")</f>
        <v>Завантажити сертифікат</v>
      </c>
    </row>
    <row r="2786" spans="1:6" x14ac:dyDescent="0.3">
      <c r="A2786" s="2">
        <v>2785</v>
      </c>
      <c r="B2786" s="1" t="s">
        <v>5909</v>
      </c>
      <c r="C2786" s="1" t="s">
        <v>5830</v>
      </c>
      <c r="D2786" s="1" t="s">
        <v>5831</v>
      </c>
      <c r="E2786" s="1" t="s">
        <v>5910</v>
      </c>
      <c r="F2786" s="1" t="str">
        <f>HYPERLINK("https://talan.bank.gov.ua/get-user-certificate/J5325zUlZba4TwdvTJFm","Завантажити сертифікат")</f>
        <v>Завантажити сертифікат</v>
      </c>
    </row>
    <row r="2787" spans="1:6" x14ac:dyDescent="0.3">
      <c r="A2787" s="2">
        <v>2786</v>
      </c>
      <c r="B2787" s="1" t="s">
        <v>5911</v>
      </c>
      <c r="C2787" s="1" t="s">
        <v>5830</v>
      </c>
      <c r="D2787" s="1" t="s">
        <v>5831</v>
      </c>
      <c r="E2787" s="1" t="s">
        <v>5912</v>
      </c>
      <c r="F2787" s="1" t="str">
        <f>HYPERLINK("https://talan.bank.gov.ua/get-user-certificate/J5325mq5BfB8LGoUv9lI","Завантажити сертифікат")</f>
        <v>Завантажити сертифікат</v>
      </c>
    </row>
    <row r="2788" spans="1:6" x14ac:dyDescent="0.3">
      <c r="A2788" s="2">
        <v>2787</v>
      </c>
      <c r="B2788" s="1" t="s">
        <v>5913</v>
      </c>
      <c r="C2788" s="1" t="s">
        <v>5830</v>
      </c>
      <c r="D2788" s="1" t="s">
        <v>5831</v>
      </c>
      <c r="E2788" s="1" t="s">
        <v>5914</v>
      </c>
      <c r="F2788" s="1" t="str">
        <f>HYPERLINK("https://talan.bank.gov.ua/get-user-certificate/J532538OEhCmRQowXR_F","Завантажити сертифікат")</f>
        <v>Завантажити сертифікат</v>
      </c>
    </row>
    <row r="2789" spans="1:6" x14ac:dyDescent="0.3">
      <c r="A2789" s="2">
        <v>2788</v>
      </c>
      <c r="B2789" s="1" t="s">
        <v>5915</v>
      </c>
      <c r="C2789" s="1" t="s">
        <v>5830</v>
      </c>
      <c r="D2789" s="1" t="s">
        <v>5831</v>
      </c>
      <c r="E2789" s="1" t="s">
        <v>5916</v>
      </c>
      <c r="F2789" s="1" t="str">
        <f>HYPERLINK("https://talan.bank.gov.ua/get-user-certificate/J5325YrUKJ0vON9LuYC0","Завантажити сертифікат")</f>
        <v>Завантажити сертифікат</v>
      </c>
    </row>
    <row r="2790" spans="1:6" x14ac:dyDescent="0.3">
      <c r="A2790" s="2">
        <v>2789</v>
      </c>
      <c r="B2790" s="1" t="s">
        <v>5917</v>
      </c>
      <c r="C2790" s="1" t="s">
        <v>5830</v>
      </c>
      <c r="D2790" s="1" t="s">
        <v>5831</v>
      </c>
      <c r="E2790" s="1" t="s">
        <v>5918</v>
      </c>
      <c r="F2790" s="1" t="str">
        <f>HYPERLINK("https://talan.bank.gov.ua/get-user-certificate/J5325D_ODSRBg4VOms5G","Завантажити сертифікат")</f>
        <v>Завантажити сертифікат</v>
      </c>
    </row>
    <row r="2791" spans="1:6" x14ac:dyDescent="0.3">
      <c r="A2791" s="2">
        <v>2790</v>
      </c>
      <c r="B2791" s="1" t="s">
        <v>5919</v>
      </c>
      <c r="C2791" s="1" t="s">
        <v>5830</v>
      </c>
      <c r="D2791" s="1" t="s">
        <v>5831</v>
      </c>
      <c r="E2791" s="1" t="s">
        <v>5920</v>
      </c>
      <c r="F2791" s="1" t="str">
        <f>HYPERLINK("https://talan.bank.gov.ua/get-user-certificate/J5325Wf0prfFyXa5VC8Y","Завантажити сертифікат")</f>
        <v>Завантажити сертифікат</v>
      </c>
    </row>
    <row r="2792" spans="1:6" x14ac:dyDescent="0.3">
      <c r="A2792" s="2">
        <v>2791</v>
      </c>
      <c r="B2792" s="1" t="s">
        <v>5921</v>
      </c>
      <c r="C2792" s="1" t="s">
        <v>5830</v>
      </c>
      <c r="D2792" s="1" t="s">
        <v>5831</v>
      </c>
      <c r="E2792" s="1" t="s">
        <v>5922</v>
      </c>
      <c r="F2792" s="1" t="str">
        <f>HYPERLINK("https://talan.bank.gov.ua/get-user-certificate/J5325Taf73HLjAlSkBWq","Завантажити сертифікат")</f>
        <v>Завантажити сертифікат</v>
      </c>
    </row>
    <row r="2793" spans="1:6" x14ac:dyDescent="0.3">
      <c r="A2793" s="2">
        <v>2792</v>
      </c>
      <c r="B2793" s="1" t="s">
        <v>5923</v>
      </c>
      <c r="C2793" s="1" t="s">
        <v>5924</v>
      </c>
      <c r="D2793" s="1" t="s">
        <v>5925</v>
      </c>
      <c r="E2793" s="1" t="s">
        <v>5926</v>
      </c>
      <c r="F2793" s="1" t="str">
        <f>HYPERLINK("https://talan.bank.gov.ua/get-user-certificate/J53253txA31H7P2ORrMC","Завантажити сертифікат")</f>
        <v>Завантажити сертифікат</v>
      </c>
    </row>
    <row r="2794" spans="1:6" x14ac:dyDescent="0.3">
      <c r="A2794" s="2">
        <v>2793</v>
      </c>
      <c r="B2794" s="1" t="s">
        <v>5927</v>
      </c>
      <c r="C2794" s="1" t="s">
        <v>5924</v>
      </c>
      <c r="D2794" s="1" t="s">
        <v>5925</v>
      </c>
      <c r="E2794" s="1" t="s">
        <v>5928</v>
      </c>
      <c r="F2794" s="1" t="str">
        <f>HYPERLINK("https://talan.bank.gov.ua/get-user-certificate/J5325iOhYXndyO_fm3Sz","Завантажити сертифікат")</f>
        <v>Завантажити сертифікат</v>
      </c>
    </row>
    <row r="2795" spans="1:6" ht="28.8" x14ac:dyDescent="0.3">
      <c r="A2795" s="2">
        <v>2794</v>
      </c>
      <c r="B2795" s="1" t="s">
        <v>5929</v>
      </c>
      <c r="C2795" s="1" t="s">
        <v>5930</v>
      </c>
      <c r="D2795" s="1" t="s">
        <v>5931</v>
      </c>
      <c r="E2795" s="1" t="s">
        <v>5932</v>
      </c>
      <c r="F2795" s="1" t="str">
        <f>HYPERLINK("https://talan.bank.gov.ua/get-user-certificate/J53257vjOoAubhzBv2SU","Завантажити сертифікат")</f>
        <v>Завантажити сертифікат</v>
      </c>
    </row>
    <row r="2796" spans="1:6" ht="28.8" x14ac:dyDescent="0.3">
      <c r="A2796" s="2">
        <v>2795</v>
      </c>
      <c r="B2796" s="1" t="s">
        <v>5933</v>
      </c>
      <c r="C2796" s="1" t="s">
        <v>5930</v>
      </c>
      <c r="D2796" s="1" t="s">
        <v>5931</v>
      </c>
      <c r="E2796" s="1" t="s">
        <v>5934</v>
      </c>
      <c r="F2796" s="1" t="str">
        <f>HYPERLINK("https://talan.bank.gov.ua/get-user-certificate/J5325lquWTZvLTsO73cR","Завантажити сертифікат")</f>
        <v>Завантажити сертифікат</v>
      </c>
    </row>
    <row r="2797" spans="1:6" ht="28.8" x14ac:dyDescent="0.3">
      <c r="A2797" s="2">
        <v>2796</v>
      </c>
      <c r="B2797" s="1" t="s">
        <v>5935</v>
      </c>
      <c r="C2797" s="1" t="s">
        <v>5930</v>
      </c>
      <c r="D2797" s="1" t="s">
        <v>5931</v>
      </c>
      <c r="E2797" s="1" t="s">
        <v>5936</v>
      </c>
      <c r="F2797" s="1" t="str">
        <f>HYPERLINK("https://talan.bank.gov.ua/get-user-certificate/J532575sJYnS3mOhGhkw","Завантажити сертифікат")</f>
        <v>Завантажити сертифікат</v>
      </c>
    </row>
    <row r="2798" spans="1:6" ht="28.8" x14ac:dyDescent="0.3">
      <c r="A2798" s="2">
        <v>2797</v>
      </c>
      <c r="B2798" s="1" t="s">
        <v>5937</v>
      </c>
      <c r="C2798" s="1" t="s">
        <v>5930</v>
      </c>
      <c r="D2798" s="1" t="s">
        <v>5931</v>
      </c>
      <c r="E2798" s="1" t="s">
        <v>5938</v>
      </c>
      <c r="F2798" s="1" t="str">
        <f>HYPERLINK("https://talan.bank.gov.ua/get-user-certificate/J532516KcM7yHwh8NoFs","Завантажити сертифікат")</f>
        <v>Завантажити сертифікат</v>
      </c>
    </row>
    <row r="2799" spans="1:6" ht="28.8" x14ac:dyDescent="0.3">
      <c r="A2799" s="2">
        <v>2798</v>
      </c>
      <c r="B2799" s="1" t="s">
        <v>5939</v>
      </c>
      <c r="C2799" s="1" t="s">
        <v>5930</v>
      </c>
      <c r="D2799" s="1" t="s">
        <v>5931</v>
      </c>
      <c r="E2799" s="1" t="s">
        <v>5940</v>
      </c>
      <c r="F2799" s="1" t="str">
        <f>HYPERLINK("https://talan.bank.gov.ua/get-user-certificate/J5325oZ1z4MW_ff75kU1","Завантажити сертифікат")</f>
        <v>Завантажити сертифікат</v>
      </c>
    </row>
    <row r="2800" spans="1:6" ht="28.8" x14ac:dyDescent="0.3">
      <c r="A2800" s="2">
        <v>2799</v>
      </c>
      <c r="B2800" s="1" t="s">
        <v>5941</v>
      </c>
      <c r="C2800" s="1" t="s">
        <v>5930</v>
      </c>
      <c r="D2800" s="1" t="s">
        <v>5931</v>
      </c>
      <c r="E2800" s="1" t="s">
        <v>5942</v>
      </c>
      <c r="F2800" s="1" t="str">
        <f>HYPERLINK("https://talan.bank.gov.ua/get-user-certificate/J5325eySzeaaLT_hjVAg","Завантажити сертифікат")</f>
        <v>Завантажити сертифікат</v>
      </c>
    </row>
    <row r="2801" spans="1:6" ht="28.8" x14ac:dyDescent="0.3">
      <c r="A2801" s="2">
        <v>2800</v>
      </c>
      <c r="B2801" s="1" t="s">
        <v>5943</v>
      </c>
      <c r="C2801" s="1" t="s">
        <v>5930</v>
      </c>
      <c r="D2801" s="1" t="s">
        <v>5931</v>
      </c>
      <c r="E2801" s="1" t="s">
        <v>5944</v>
      </c>
      <c r="F2801" s="1" t="str">
        <f>HYPERLINK("https://talan.bank.gov.ua/get-user-certificate/J5325Obsyaw8Iyxzysnl","Завантажити сертифікат")</f>
        <v>Завантажити сертифікат</v>
      </c>
    </row>
    <row r="2802" spans="1:6" ht="28.8" x14ac:dyDescent="0.3">
      <c r="A2802" s="2">
        <v>2801</v>
      </c>
      <c r="B2802" s="1" t="s">
        <v>5945</v>
      </c>
      <c r="C2802" s="1" t="s">
        <v>5930</v>
      </c>
      <c r="D2802" s="1" t="s">
        <v>5931</v>
      </c>
      <c r="E2802" s="1" t="s">
        <v>5946</v>
      </c>
      <c r="F2802" s="1" t="str">
        <f>HYPERLINK("https://talan.bank.gov.ua/get-user-certificate/J5325exKxv6Zf9d0Sqoh","Завантажити сертифікат")</f>
        <v>Завантажити сертифікат</v>
      </c>
    </row>
    <row r="2803" spans="1:6" ht="28.8" x14ac:dyDescent="0.3">
      <c r="A2803" s="2">
        <v>2802</v>
      </c>
      <c r="B2803" s="1" t="s">
        <v>5947</v>
      </c>
      <c r="C2803" s="1" t="s">
        <v>5930</v>
      </c>
      <c r="D2803" s="1" t="s">
        <v>5931</v>
      </c>
      <c r="E2803" s="1" t="s">
        <v>5948</v>
      </c>
      <c r="F2803" s="1" t="str">
        <f>HYPERLINK("https://talan.bank.gov.ua/get-user-certificate/J5325-bP1xZnAh8-e6eP","Завантажити сертифікат")</f>
        <v>Завантажити сертифікат</v>
      </c>
    </row>
    <row r="2804" spans="1:6" ht="28.8" x14ac:dyDescent="0.3">
      <c r="A2804" s="2">
        <v>2803</v>
      </c>
      <c r="B2804" s="1" t="s">
        <v>5949</v>
      </c>
      <c r="C2804" s="1" t="s">
        <v>5930</v>
      </c>
      <c r="D2804" s="1" t="s">
        <v>5931</v>
      </c>
      <c r="E2804" s="1" t="s">
        <v>5950</v>
      </c>
      <c r="F2804" s="1" t="str">
        <f>HYPERLINK("https://talan.bank.gov.ua/get-user-certificate/J5325wirju_C67H_az2n","Завантажити сертифікат")</f>
        <v>Завантажити сертифікат</v>
      </c>
    </row>
    <row r="2805" spans="1:6" ht="28.8" x14ac:dyDescent="0.3">
      <c r="A2805" s="2">
        <v>2804</v>
      </c>
      <c r="B2805" s="1" t="s">
        <v>5951</v>
      </c>
      <c r="C2805" s="1" t="s">
        <v>5930</v>
      </c>
      <c r="D2805" s="1" t="s">
        <v>5931</v>
      </c>
      <c r="E2805" s="1" t="s">
        <v>5952</v>
      </c>
      <c r="F2805" s="1" t="str">
        <f>HYPERLINK("https://talan.bank.gov.ua/get-user-certificate/J5325KRth1VR7rMpEEF0","Завантажити сертифікат")</f>
        <v>Завантажити сертифікат</v>
      </c>
    </row>
    <row r="2806" spans="1:6" ht="28.8" x14ac:dyDescent="0.3">
      <c r="A2806" s="2">
        <v>2805</v>
      </c>
      <c r="B2806" s="1" t="s">
        <v>5953</v>
      </c>
      <c r="C2806" s="1" t="s">
        <v>5954</v>
      </c>
      <c r="D2806" s="1" t="s">
        <v>5955</v>
      </c>
      <c r="E2806" s="1" t="s">
        <v>5956</v>
      </c>
      <c r="F2806" s="1" t="str">
        <f>HYPERLINK("https://talan.bank.gov.ua/get-user-certificate/J5325-f9O3vBEHhWcJph","Завантажити сертифікат")</f>
        <v>Завантажити сертифікат</v>
      </c>
    </row>
    <row r="2807" spans="1:6" ht="28.8" x14ac:dyDescent="0.3">
      <c r="A2807" s="2">
        <v>2806</v>
      </c>
      <c r="B2807" s="1" t="s">
        <v>5957</v>
      </c>
      <c r="C2807" s="1" t="s">
        <v>5954</v>
      </c>
      <c r="D2807" s="1" t="s">
        <v>5955</v>
      </c>
      <c r="E2807" s="1" t="s">
        <v>5958</v>
      </c>
      <c r="F2807" s="1" t="str">
        <f>HYPERLINK("https://talan.bank.gov.ua/get-user-certificate/J5325GkeHexS32S5Lgy2","Завантажити сертифікат")</f>
        <v>Завантажити сертифікат</v>
      </c>
    </row>
    <row r="2808" spans="1:6" ht="28.8" x14ac:dyDescent="0.3">
      <c r="A2808" s="2">
        <v>2807</v>
      </c>
      <c r="B2808" s="1" t="s">
        <v>5959</v>
      </c>
      <c r="C2808" s="1" t="s">
        <v>5954</v>
      </c>
      <c r="D2808" s="1" t="s">
        <v>5955</v>
      </c>
      <c r="E2808" s="1" t="s">
        <v>5960</v>
      </c>
      <c r="F2808" s="1" t="str">
        <f>HYPERLINK("https://talan.bank.gov.ua/get-user-certificate/J5325NMOgdAxu1u3uNcS","Завантажити сертифікат")</f>
        <v>Завантажити сертифікат</v>
      </c>
    </row>
    <row r="2809" spans="1:6" ht="28.8" x14ac:dyDescent="0.3">
      <c r="A2809" s="2">
        <v>2808</v>
      </c>
      <c r="B2809" s="1" t="s">
        <v>5961</v>
      </c>
      <c r="C2809" s="1" t="s">
        <v>5954</v>
      </c>
      <c r="D2809" s="1" t="s">
        <v>5955</v>
      </c>
      <c r="E2809" s="1" t="s">
        <v>5962</v>
      </c>
      <c r="F2809" s="1" t="str">
        <f>HYPERLINK("https://talan.bank.gov.ua/get-user-certificate/J5325XsLk8cKR7rjCGfy","Завантажити сертифікат")</f>
        <v>Завантажити сертифікат</v>
      </c>
    </row>
    <row r="2810" spans="1:6" ht="28.8" x14ac:dyDescent="0.3">
      <c r="A2810" s="2">
        <v>2809</v>
      </c>
      <c r="B2810" s="1" t="s">
        <v>5963</v>
      </c>
      <c r="C2810" s="1" t="s">
        <v>5954</v>
      </c>
      <c r="D2810" s="1" t="s">
        <v>5955</v>
      </c>
      <c r="E2810" s="1" t="s">
        <v>5964</v>
      </c>
      <c r="F2810" s="1" t="str">
        <f>HYPERLINK("https://talan.bank.gov.ua/get-user-certificate/J5325nrUxNk-894KdTcP","Завантажити сертифікат")</f>
        <v>Завантажити сертифікат</v>
      </c>
    </row>
    <row r="2811" spans="1:6" ht="28.8" x14ac:dyDescent="0.3">
      <c r="A2811" s="2">
        <v>2810</v>
      </c>
      <c r="B2811" s="1" t="s">
        <v>5965</v>
      </c>
      <c r="C2811" s="1" t="s">
        <v>5954</v>
      </c>
      <c r="D2811" s="1" t="s">
        <v>5955</v>
      </c>
      <c r="E2811" s="1" t="s">
        <v>5966</v>
      </c>
      <c r="F2811" s="1" t="str">
        <f>HYPERLINK("https://talan.bank.gov.ua/get-user-certificate/J5325SA0RvnkmpUfZ8vD","Завантажити сертифікат")</f>
        <v>Завантажити сертифікат</v>
      </c>
    </row>
    <row r="2812" spans="1:6" ht="28.8" x14ac:dyDescent="0.3">
      <c r="A2812" s="2">
        <v>2811</v>
      </c>
      <c r="B2812" s="1" t="s">
        <v>5967</v>
      </c>
      <c r="C2812" s="1" t="s">
        <v>5954</v>
      </c>
      <c r="D2812" s="1" t="s">
        <v>5955</v>
      </c>
      <c r="E2812" s="1" t="s">
        <v>5968</v>
      </c>
      <c r="F2812" s="1" t="str">
        <f>HYPERLINK("https://talan.bank.gov.ua/get-user-certificate/J5325mElbLIda8qZMZZQ","Завантажити сертифікат")</f>
        <v>Завантажити сертифікат</v>
      </c>
    </row>
    <row r="2813" spans="1:6" ht="28.8" x14ac:dyDescent="0.3">
      <c r="A2813" s="2">
        <v>2812</v>
      </c>
      <c r="B2813" s="1" t="s">
        <v>5969</v>
      </c>
      <c r="C2813" s="1" t="s">
        <v>5954</v>
      </c>
      <c r="D2813" s="1" t="s">
        <v>5955</v>
      </c>
      <c r="E2813" s="1" t="s">
        <v>5970</v>
      </c>
      <c r="F2813" s="1" t="str">
        <f>HYPERLINK("https://talan.bank.gov.ua/get-user-certificate/J5325wqzTK-TjZns-JWO","Завантажити сертифікат")</f>
        <v>Завантажити сертифікат</v>
      </c>
    </row>
    <row r="2814" spans="1:6" ht="28.8" x14ac:dyDescent="0.3">
      <c r="A2814" s="2">
        <v>2813</v>
      </c>
      <c r="B2814" s="1" t="s">
        <v>5971</v>
      </c>
      <c r="C2814" s="1" t="s">
        <v>5954</v>
      </c>
      <c r="D2814" s="1" t="s">
        <v>5955</v>
      </c>
      <c r="E2814" s="1" t="s">
        <v>5972</v>
      </c>
      <c r="F2814" s="1" t="str">
        <f>HYPERLINK("https://talan.bank.gov.ua/get-user-certificate/J53255VsriCcMtV3OeIP","Завантажити сертифікат")</f>
        <v>Завантажити сертифікат</v>
      </c>
    </row>
    <row r="2815" spans="1:6" ht="28.8" x14ac:dyDescent="0.3">
      <c r="A2815" s="2">
        <v>2814</v>
      </c>
      <c r="B2815" s="1" t="s">
        <v>5973</v>
      </c>
      <c r="C2815" s="1" t="s">
        <v>5954</v>
      </c>
      <c r="D2815" s="1" t="s">
        <v>5955</v>
      </c>
      <c r="E2815" s="1" t="s">
        <v>5974</v>
      </c>
      <c r="F2815" s="1" t="str">
        <f>HYPERLINK("https://talan.bank.gov.ua/get-user-certificate/J5325CVowOEv4bqaDYiJ","Завантажити сертифікат")</f>
        <v>Завантажити сертифікат</v>
      </c>
    </row>
    <row r="2816" spans="1:6" ht="28.8" x14ac:dyDescent="0.3">
      <c r="A2816" s="2">
        <v>2815</v>
      </c>
      <c r="B2816" s="1" t="s">
        <v>5975</v>
      </c>
      <c r="C2816" s="1" t="s">
        <v>5954</v>
      </c>
      <c r="D2816" s="1" t="s">
        <v>5955</v>
      </c>
      <c r="E2816" s="1" t="s">
        <v>5976</v>
      </c>
      <c r="F2816" s="1" t="str">
        <f>HYPERLINK("https://talan.bank.gov.ua/get-user-certificate/J5325iBnyOTy6xfYNlPf","Завантажити сертифікат")</f>
        <v>Завантажити сертифікат</v>
      </c>
    </row>
    <row r="2817" spans="1:6" ht="28.8" x14ac:dyDescent="0.3">
      <c r="A2817" s="2">
        <v>2816</v>
      </c>
      <c r="B2817" s="1" t="s">
        <v>5977</v>
      </c>
      <c r="C2817" s="1" t="s">
        <v>5954</v>
      </c>
      <c r="D2817" s="1" t="s">
        <v>5955</v>
      </c>
      <c r="E2817" s="1" t="s">
        <v>5978</v>
      </c>
      <c r="F2817" s="1" t="str">
        <f>HYPERLINK("https://talan.bank.gov.ua/get-user-certificate/J53258gO7OtXuI0t_YL5","Завантажити сертифікат")</f>
        <v>Завантажити сертифікат</v>
      </c>
    </row>
    <row r="2818" spans="1:6" ht="28.8" x14ac:dyDescent="0.3">
      <c r="A2818" s="2">
        <v>2817</v>
      </c>
      <c r="B2818" s="1" t="s">
        <v>5979</v>
      </c>
      <c r="C2818" s="1" t="s">
        <v>5954</v>
      </c>
      <c r="D2818" s="1" t="s">
        <v>5955</v>
      </c>
      <c r="E2818" s="1" t="s">
        <v>5980</v>
      </c>
      <c r="F2818" s="1" t="str">
        <f>HYPERLINK("https://talan.bank.gov.ua/get-user-certificate/J5325vDb8TO6z0KtBv-C","Завантажити сертифікат")</f>
        <v>Завантажити сертифікат</v>
      </c>
    </row>
    <row r="2819" spans="1:6" ht="28.8" x14ac:dyDescent="0.3">
      <c r="A2819" s="2">
        <v>2818</v>
      </c>
      <c r="B2819" s="1" t="s">
        <v>5981</v>
      </c>
      <c r="C2819" s="1" t="s">
        <v>5954</v>
      </c>
      <c r="D2819" s="1" t="s">
        <v>5955</v>
      </c>
      <c r="E2819" s="1" t="s">
        <v>5982</v>
      </c>
      <c r="F2819" s="1" t="str">
        <f>HYPERLINK("https://talan.bank.gov.ua/get-user-certificate/J5325b_VFknKslIc7b54","Завантажити сертифікат")</f>
        <v>Завантажити сертифікат</v>
      </c>
    </row>
    <row r="2820" spans="1:6" x14ac:dyDescent="0.3">
      <c r="A2820" s="2">
        <v>2819</v>
      </c>
      <c r="B2820" s="1" t="s">
        <v>5983</v>
      </c>
      <c r="C2820" s="1" t="s">
        <v>5984</v>
      </c>
      <c r="D2820" s="1" t="s">
        <v>5985</v>
      </c>
      <c r="E2820" s="1" t="s">
        <v>5986</v>
      </c>
      <c r="F2820" s="1" t="str">
        <f>HYPERLINK("https://talan.bank.gov.ua/get-user-certificate/J5325FkH44bWxY070hDT","Завантажити сертифікат")</f>
        <v>Завантажити сертифікат</v>
      </c>
    </row>
    <row r="2821" spans="1:6" x14ac:dyDescent="0.3">
      <c r="A2821" s="2">
        <v>2820</v>
      </c>
      <c r="B2821" s="1" t="s">
        <v>5987</v>
      </c>
      <c r="C2821" s="1" t="s">
        <v>5984</v>
      </c>
      <c r="D2821" s="1" t="s">
        <v>5985</v>
      </c>
      <c r="E2821" s="1" t="s">
        <v>5988</v>
      </c>
      <c r="F2821" s="1" t="str">
        <f>HYPERLINK("https://talan.bank.gov.ua/get-user-certificate/J5325ldWgBa7GXaF5V33","Завантажити сертифікат")</f>
        <v>Завантажити сертифікат</v>
      </c>
    </row>
    <row r="2822" spans="1:6" x14ac:dyDescent="0.3">
      <c r="A2822" s="2">
        <v>2821</v>
      </c>
      <c r="B2822" s="1" t="s">
        <v>5989</v>
      </c>
      <c r="C2822" s="1" t="s">
        <v>5984</v>
      </c>
      <c r="D2822" s="1" t="s">
        <v>5985</v>
      </c>
      <c r="E2822" s="1" t="s">
        <v>5990</v>
      </c>
      <c r="F2822" s="1" t="str">
        <f>HYPERLINK("https://talan.bank.gov.ua/get-user-certificate/J53259HSF75JcD0GE-yg","Завантажити сертифікат")</f>
        <v>Завантажити сертифікат</v>
      </c>
    </row>
    <row r="2823" spans="1:6" x14ac:dyDescent="0.3">
      <c r="A2823" s="2">
        <v>2822</v>
      </c>
      <c r="B2823" s="1" t="s">
        <v>5991</v>
      </c>
      <c r="C2823" s="1" t="s">
        <v>5984</v>
      </c>
      <c r="D2823" s="1" t="s">
        <v>5985</v>
      </c>
      <c r="E2823" s="1" t="s">
        <v>5992</v>
      </c>
      <c r="F2823" s="1" t="str">
        <f>HYPERLINK("https://talan.bank.gov.ua/get-user-certificate/J53252HYkpKEocka34Wy","Завантажити сертифікат")</f>
        <v>Завантажити сертифікат</v>
      </c>
    </row>
    <row r="2824" spans="1:6" x14ac:dyDescent="0.3">
      <c r="A2824" s="2">
        <v>2823</v>
      </c>
      <c r="B2824" s="1" t="s">
        <v>5993</v>
      </c>
      <c r="C2824" s="1" t="s">
        <v>5984</v>
      </c>
      <c r="D2824" s="1" t="s">
        <v>5985</v>
      </c>
      <c r="E2824" s="1" t="s">
        <v>5994</v>
      </c>
      <c r="F2824" s="1" t="str">
        <f>HYPERLINK("https://talan.bank.gov.ua/get-user-certificate/J5325djbYF0u2UT0492B","Завантажити сертифікат")</f>
        <v>Завантажити сертифікат</v>
      </c>
    </row>
    <row r="2825" spans="1:6" x14ac:dyDescent="0.3">
      <c r="A2825" s="2">
        <v>2824</v>
      </c>
      <c r="B2825" s="1" t="s">
        <v>5995</v>
      </c>
      <c r="C2825" s="1" t="s">
        <v>5984</v>
      </c>
      <c r="D2825" s="1" t="s">
        <v>5985</v>
      </c>
      <c r="E2825" s="1" t="s">
        <v>5996</v>
      </c>
      <c r="F2825" s="1" t="str">
        <f>HYPERLINK("https://talan.bank.gov.ua/get-user-certificate/J53257Q8oG9ZVcFl65-9","Завантажити сертифікат")</f>
        <v>Завантажити сертифікат</v>
      </c>
    </row>
    <row r="2826" spans="1:6" x14ac:dyDescent="0.3">
      <c r="A2826" s="2">
        <v>2825</v>
      </c>
      <c r="B2826" s="1" t="s">
        <v>5997</v>
      </c>
      <c r="C2826" s="1" t="s">
        <v>5984</v>
      </c>
      <c r="D2826" s="1" t="s">
        <v>5985</v>
      </c>
      <c r="E2826" s="1" t="s">
        <v>5998</v>
      </c>
      <c r="F2826" s="1" t="str">
        <f>HYPERLINK("https://talan.bank.gov.ua/get-user-certificate/J5325e9w8Nvi0l1Sk1Vt","Завантажити сертифікат")</f>
        <v>Завантажити сертифікат</v>
      </c>
    </row>
    <row r="2827" spans="1:6" ht="28.8" x14ac:dyDescent="0.3">
      <c r="A2827" s="2">
        <v>2826</v>
      </c>
      <c r="B2827" s="1" t="s">
        <v>5999</v>
      </c>
      <c r="C2827" s="1" t="s">
        <v>6000</v>
      </c>
      <c r="D2827" s="1" t="s">
        <v>6001</v>
      </c>
      <c r="E2827" s="1" t="s">
        <v>6002</v>
      </c>
      <c r="F2827" s="1" t="str">
        <f>HYPERLINK("https://talan.bank.gov.ua/get-user-certificate/J5325BiqvfQqso1Opm5z","Завантажити сертифікат")</f>
        <v>Завантажити сертифікат</v>
      </c>
    </row>
    <row r="2828" spans="1:6" ht="28.8" x14ac:dyDescent="0.3">
      <c r="A2828" s="2">
        <v>2827</v>
      </c>
      <c r="B2828" s="1" t="s">
        <v>6003</v>
      </c>
      <c r="C2828" s="1" t="s">
        <v>6000</v>
      </c>
      <c r="D2828" s="1" t="s">
        <v>6001</v>
      </c>
      <c r="E2828" s="1" t="s">
        <v>6004</v>
      </c>
      <c r="F2828" s="1" t="str">
        <f>HYPERLINK("https://talan.bank.gov.ua/get-user-certificate/J5325k7QyDeHi2FALG7T","Завантажити сертифікат")</f>
        <v>Завантажити сертифікат</v>
      </c>
    </row>
    <row r="2829" spans="1:6" ht="28.8" x14ac:dyDescent="0.3">
      <c r="A2829" s="2">
        <v>2828</v>
      </c>
      <c r="B2829" s="1" t="s">
        <v>6005</v>
      </c>
      <c r="C2829" s="1" t="s">
        <v>6000</v>
      </c>
      <c r="D2829" s="1" t="s">
        <v>6001</v>
      </c>
      <c r="E2829" s="1" t="s">
        <v>6006</v>
      </c>
      <c r="F2829" s="1" t="str">
        <f>HYPERLINK("https://talan.bank.gov.ua/get-user-certificate/J5325SO5X7Rvvgl7pc1H","Завантажити сертифікат")</f>
        <v>Завантажити сертифікат</v>
      </c>
    </row>
    <row r="2830" spans="1:6" ht="28.8" x14ac:dyDescent="0.3">
      <c r="A2830" s="2">
        <v>2829</v>
      </c>
      <c r="B2830" s="1" t="s">
        <v>6007</v>
      </c>
      <c r="C2830" s="1" t="s">
        <v>6000</v>
      </c>
      <c r="D2830" s="1" t="s">
        <v>6001</v>
      </c>
      <c r="E2830" s="1" t="s">
        <v>6008</v>
      </c>
      <c r="F2830" s="1" t="str">
        <f>HYPERLINK("https://talan.bank.gov.ua/get-user-certificate/J5325uQ6ij12GwrE3W4x","Завантажити сертифікат")</f>
        <v>Завантажити сертифікат</v>
      </c>
    </row>
    <row r="2831" spans="1:6" ht="28.8" x14ac:dyDescent="0.3">
      <c r="A2831" s="2">
        <v>2830</v>
      </c>
      <c r="B2831" s="1" t="s">
        <v>6009</v>
      </c>
      <c r="C2831" s="1" t="s">
        <v>6000</v>
      </c>
      <c r="D2831" s="1" t="s">
        <v>6001</v>
      </c>
      <c r="E2831" s="1" t="s">
        <v>6010</v>
      </c>
      <c r="F2831" s="1" t="str">
        <f>HYPERLINK("https://talan.bank.gov.ua/get-user-certificate/J5325KI4M-ELLms6Vt0j","Завантажити сертифікат")</f>
        <v>Завантажити сертифікат</v>
      </c>
    </row>
    <row r="2832" spans="1:6" ht="28.8" x14ac:dyDescent="0.3">
      <c r="A2832" s="2">
        <v>2831</v>
      </c>
      <c r="B2832" s="1" t="s">
        <v>6011</v>
      </c>
      <c r="C2832" s="1" t="s">
        <v>6000</v>
      </c>
      <c r="D2832" s="1" t="s">
        <v>6001</v>
      </c>
      <c r="E2832" s="1" t="s">
        <v>6012</v>
      </c>
      <c r="F2832" s="1" t="str">
        <f>HYPERLINK("https://talan.bank.gov.ua/get-user-certificate/J5325EjDXdA_n6r9qxWm","Завантажити сертифікат")</f>
        <v>Завантажити сертифікат</v>
      </c>
    </row>
    <row r="2833" spans="1:6" ht="28.8" x14ac:dyDescent="0.3">
      <c r="A2833" s="2">
        <v>2832</v>
      </c>
      <c r="B2833" s="1" t="s">
        <v>6013</v>
      </c>
      <c r="C2833" s="1" t="s">
        <v>6000</v>
      </c>
      <c r="D2833" s="1" t="s">
        <v>6001</v>
      </c>
      <c r="E2833" s="1" t="s">
        <v>6014</v>
      </c>
      <c r="F2833" s="1" t="str">
        <f>HYPERLINK("https://talan.bank.gov.ua/get-user-certificate/J53257IO4C-0FLCImcBl","Завантажити сертифікат")</f>
        <v>Завантажити сертифікат</v>
      </c>
    </row>
    <row r="2834" spans="1:6" ht="28.8" x14ac:dyDescent="0.3">
      <c r="A2834" s="2">
        <v>2833</v>
      </c>
      <c r="B2834" s="1" t="s">
        <v>6015</v>
      </c>
      <c r="C2834" s="1" t="s">
        <v>6000</v>
      </c>
      <c r="D2834" s="1" t="s">
        <v>6001</v>
      </c>
      <c r="E2834" s="1" t="s">
        <v>6016</v>
      </c>
      <c r="F2834" s="1" t="str">
        <f>HYPERLINK("https://talan.bank.gov.ua/get-user-certificate/J5325O9j4QNER8BWxwkW","Завантажити сертифікат")</f>
        <v>Завантажити сертифікат</v>
      </c>
    </row>
    <row r="2835" spans="1:6" ht="28.8" x14ac:dyDescent="0.3">
      <c r="A2835" s="2">
        <v>2834</v>
      </c>
      <c r="B2835" s="1" t="s">
        <v>6017</v>
      </c>
      <c r="C2835" s="1" t="s">
        <v>6000</v>
      </c>
      <c r="D2835" s="1" t="s">
        <v>6001</v>
      </c>
      <c r="E2835" s="1" t="s">
        <v>6018</v>
      </c>
      <c r="F2835" s="1" t="str">
        <f>HYPERLINK("https://talan.bank.gov.ua/get-user-certificate/J5325QP4pFsaDBSpnVq7","Завантажити сертифікат")</f>
        <v>Завантажити сертифікат</v>
      </c>
    </row>
    <row r="2836" spans="1:6" ht="28.8" x14ac:dyDescent="0.3">
      <c r="A2836" s="2">
        <v>2835</v>
      </c>
      <c r="B2836" s="1" t="s">
        <v>6019</v>
      </c>
      <c r="C2836" s="1" t="s">
        <v>6000</v>
      </c>
      <c r="D2836" s="1" t="s">
        <v>6001</v>
      </c>
      <c r="E2836" s="1" t="s">
        <v>6020</v>
      </c>
      <c r="F2836" s="1" t="str">
        <f>HYPERLINK("https://talan.bank.gov.ua/get-user-certificate/J5325IW-MeE_ngyZYldC","Завантажити сертифікат")</f>
        <v>Завантажити сертифікат</v>
      </c>
    </row>
    <row r="2837" spans="1:6" ht="28.8" x14ac:dyDescent="0.3">
      <c r="A2837" s="2">
        <v>2836</v>
      </c>
      <c r="B2837" s="1" t="s">
        <v>6021</v>
      </c>
      <c r="C2837" s="1" t="s">
        <v>6000</v>
      </c>
      <c r="D2837" s="1" t="s">
        <v>6001</v>
      </c>
      <c r="E2837" s="1" t="s">
        <v>6022</v>
      </c>
      <c r="F2837" s="1" t="str">
        <f>HYPERLINK("https://talan.bank.gov.ua/get-user-certificate/J5325aqkK4K8f3HEJgSv","Завантажити сертифікат")</f>
        <v>Завантажити сертифікат</v>
      </c>
    </row>
    <row r="2838" spans="1:6" ht="28.8" x14ac:dyDescent="0.3">
      <c r="A2838" s="2">
        <v>2837</v>
      </c>
      <c r="B2838" s="1" t="s">
        <v>6023</v>
      </c>
      <c r="C2838" s="1" t="s">
        <v>6000</v>
      </c>
      <c r="D2838" s="1" t="s">
        <v>6001</v>
      </c>
      <c r="E2838" s="1" t="s">
        <v>6024</v>
      </c>
      <c r="F2838" s="1" t="str">
        <f>HYPERLINK("https://talan.bank.gov.ua/get-user-certificate/J5325M_ofMOdA6yQBRXo","Завантажити сертифікат")</f>
        <v>Завантажити сертифікат</v>
      </c>
    </row>
    <row r="2839" spans="1:6" ht="28.8" x14ac:dyDescent="0.3">
      <c r="A2839" s="2">
        <v>2838</v>
      </c>
      <c r="B2839" s="1" t="s">
        <v>6025</v>
      </c>
      <c r="C2839" s="1" t="s">
        <v>6000</v>
      </c>
      <c r="D2839" s="1" t="s">
        <v>6001</v>
      </c>
      <c r="E2839" s="1" t="s">
        <v>6026</v>
      </c>
      <c r="F2839" s="1" t="str">
        <f>HYPERLINK("https://talan.bank.gov.ua/get-user-certificate/J5325GjEQmrk8GcrPCj2","Завантажити сертифікат")</f>
        <v>Завантажити сертифікат</v>
      </c>
    </row>
    <row r="2840" spans="1:6" ht="28.8" x14ac:dyDescent="0.3">
      <c r="A2840" s="2">
        <v>2839</v>
      </c>
      <c r="B2840" s="1" t="s">
        <v>6027</v>
      </c>
      <c r="C2840" s="1" t="s">
        <v>6000</v>
      </c>
      <c r="D2840" s="1" t="s">
        <v>6001</v>
      </c>
      <c r="E2840" s="1" t="s">
        <v>6028</v>
      </c>
      <c r="F2840" s="1" t="str">
        <f>HYPERLINK("https://talan.bank.gov.ua/get-user-certificate/J5325wHO3CuiJt8Ml_MG","Завантажити сертифікат")</f>
        <v>Завантажити сертифікат</v>
      </c>
    </row>
    <row r="2841" spans="1:6" ht="28.8" x14ac:dyDescent="0.3">
      <c r="A2841" s="2">
        <v>2840</v>
      </c>
      <c r="B2841" s="1" t="s">
        <v>6029</v>
      </c>
      <c r="C2841" s="1" t="s">
        <v>6000</v>
      </c>
      <c r="D2841" s="1" t="s">
        <v>6001</v>
      </c>
      <c r="E2841" s="1" t="s">
        <v>6030</v>
      </c>
      <c r="F2841" s="1" t="str">
        <f>HYPERLINK("https://talan.bank.gov.ua/get-user-certificate/J5325pq3MSWwZIzqRcT0","Завантажити сертифікат")</f>
        <v>Завантажити сертифікат</v>
      </c>
    </row>
    <row r="2842" spans="1:6" ht="28.8" x14ac:dyDescent="0.3">
      <c r="A2842" s="2">
        <v>2841</v>
      </c>
      <c r="B2842" s="1" t="s">
        <v>6031</v>
      </c>
      <c r="C2842" s="1" t="s">
        <v>6000</v>
      </c>
      <c r="D2842" s="1" t="s">
        <v>6001</v>
      </c>
      <c r="E2842" s="1" t="s">
        <v>6032</v>
      </c>
      <c r="F2842" s="1" t="str">
        <f>HYPERLINK("https://talan.bank.gov.ua/get-user-certificate/J5325xB6Vsb010U0EMxi","Завантажити сертифікат")</f>
        <v>Завантажити сертифікат</v>
      </c>
    </row>
    <row r="2843" spans="1:6" ht="28.8" x14ac:dyDescent="0.3">
      <c r="A2843" s="2">
        <v>2842</v>
      </c>
      <c r="B2843" s="1" t="s">
        <v>6033</v>
      </c>
      <c r="C2843" s="1" t="s">
        <v>6000</v>
      </c>
      <c r="D2843" s="1" t="s">
        <v>6001</v>
      </c>
      <c r="E2843" s="1" t="s">
        <v>6034</v>
      </c>
      <c r="F2843" s="1" t="str">
        <f>HYPERLINK("https://talan.bank.gov.ua/get-user-certificate/J5325tLuNKHU5Lz7m5o0","Завантажити сертифікат")</f>
        <v>Завантажити сертифікат</v>
      </c>
    </row>
    <row r="2844" spans="1:6" ht="28.8" x14ac:dyDescent="0.3">
      <c r="A2844" s="2">
        <v>2843</v>
      </c>
      <c r="B2844" s="1" t="s">
        <v>6035</v>
      </c>
      <c r="C2844" s="1" t="s">
        <v>6000</v>
      </c>
      <c r="D2844" s="1" t="s">
        <v>6001</v>
      </c>
      <c r="E2844" s="1" t="s">
        <v>6036</v>
      </c>
      <c r="F2844" s="1" t="str">
        <f>HYPERLINK("https://talan.bank.gov.ua/get-user-certificate/J5325JGXlYjOEdtUcE6g","Завантажити сертифікат")</f>
        <v>Завантажити сертифікат</v>
      </c>
    </row>
    <row r="2845" spans="1:6" ht="28.8" x14ac:dyDescent="0.3">
      <c r="A2845" s="2">
        <v>2844</v>
      </c>
      <c r="B2845" s="1" t="s">
        <v>6037</v>
      </c>
      <c r="C2845" s="1" t="s">
        <v>6000</v>
      </c>
      <c r="D2845" s="1" t="s">
        <v>6001</v>
      </c>
      <c r="E2845" s="1" t="s">
        <v>6038</v>
      </c>
      <c r="F2845" s="1" t="str">
        <f>HYPERLINK("https://talan.bank.gov.ua/get-user-certificate/J5325IiEg7op2siXH-wP","Завантажити сертифікат")</f>
        <v>Завантажити сертифікат</v>
      </c>
    </row>
    <row r="2846" spans="1:6" ht="28.8" x14ac:dyDescent="0.3">
      <c r="A2846" s="2">
        <v>2845</v>
      </c>
      <c r="B2846" s="1" t="s">
        <v>6039</v>
      </c>
      <c r="C2846" s="1" t="s">
        <v>6000</v>
      </c>
      <c r="D2846" s="1" t="s">
        <v>6001</v>
      </c>
      <c r="E2846" s="1" t="s">
        <v>6040</v>
      </c>
      <c r="F2846" s="1" t="str">
        <f>HYPERLINK("https://talan.bank.gov.ua/get-user-certificate/J5325XWsoH5G6JaALgC2","Завантажити сертифікат")</f>
        <v>Завантажити сертифікат</v>
      </c>
    </row>
    <row r="2847" spans="1:6" x14ac:dyDescent="0.3">
      <c r="A2847" s="2">
        <v>2846</v>
      </c>
      <c r="B2847" s="1" t="s">
        <v>6041</v>
      </c>
      <c r="C2847" s="1" t="s">
        <v>6042</v>
      </c>
      <c r="D2847" s="1" t="s">
        <v>6043</v>
      </c>
      <c r="E2847" s="1" t="s">
        <v>6044</v>
      </c>
      <c r="F2847" s="1" t="str">
        <f>HYPERLINK("https://talan.bank.gov.ua/get-user-certificate/J5325aQBMnVj_A1fvPkA","Завантажити сертифікат")</f>
        <v>Завантажити сертифікат</v>
      </c>
    </row>
    <row r="2848" spans="1:6" x14ac:dyDescent="0.3">
      <c r="A2848" s="2">
        <v>2847</v>
      </c>
      <c r="B2848" s="1" t="s">
        <v>6045</v>
      </c>
      <c r="C2848" s="1" t="s">
        <v>6042</v>
      </c>
      <c r="D2848" s="1" t="s">
        <v>6043</v>
      </c>
      <c r="E2848" s="1" t="s">
        <v>6046</v>
      </c>
      <c r="F2848" s="1" t="str">
        <f>HYPERLINK("https://talan.bank.gov.ua/get-user-certificate/J5325eaf-OXQpk3h-_PN","Завантажити сертифікат")</f>
        <v>Завантажити сертифікат</v>
      </c>
    </row>
    <row r="2849" spans="1:6" x14ac:dyDescent="0.3">
      <c r="A2849" s="2">
        <v>2848</v>
      </c>
      <c r="B2849" s="1" t="s">
        <v>6047</v>
      </c>
      <c r="C2849" s="1" t="s">
        <v>6042</v>
      </c>
      <c r="D2849" s="1" t="s">
        <v>6043</v>
      </c>
      <c r="E2849" s="1" t="s">
        <v>6048</v>
      </c>
      <c r="F2849" s="1" t="str">
        <f>HYPERLINK("https://talan.bank.gov.ua/get-user-certificate/J53258672aTnaaBOzCgQ","Завантажити сертифікат")</f>
        <v>Завантажити сертифікат</v>
      </c>
    </row>
    <row r="2850" spans="1:6" x14ac:dyDescent="0.3">
      <c r="A2850" s="2">
        <v>2849</v>
      </c>
      <c r="B2850" s="1" t="s">
        <v>6049</v>
      </c>
      <c r="C2850" s="1" t="s">
        <v>6042</v>
      </c>
      <c r="D2850" s="1" t="s">
        <v>6043</v>
      </c>
      <c r="E2850" s="1" t="s">
        <v>6050</v>
      </c>
      <c r="F2850" s="1" t="str">
        <f>HYPERLINK("https://talan.bank.gov.ua/get-user-certificate/J5325AWG1vVzjRo6vuG7","Завантажити сертифікат")</f>
        <v>Завантажити сертифікат</v>
      </c>
    </row>
    <row r="2851" spans="1:6" ht="28.8" x14ac:dyDescent="0.3">
      <c r="A2851" s="2">
        <v>2850</v>
      </c>
      <c r="B2851" s="1" t="s">
        <v>6051</v>
      </c>
      <c r="C2851" s="1" t="s">
        <v>6042</v>
      </c>
      <c r="D2851" s="1" t="s">
        <v>6043</v>
      </c>
      <c r="E2851" s="1" t="s">
        <v>6052</v>
      </c>
      <c r="F2851" s="1" t="str">
        <f>HYPERLINK("https://talan.bank.gov.ua/get-user-certificate/J5325hOn2BZwD8Sh9BTi","Завантажити сертифікат")</f>
        <v>Завантажити сертифікат</v>
      </c>
    </row>
    <row r="2852" spans="1:6" x14ac:dyDescent="0.3">
      <c r="A2852" s="2">
        <v>2851</v>
      </c>
      <c r="B2852" s="1" t="s">
        <v>6053</v>
      </c>
      <c r="C2852" s="1" t="s">
        <v>6042</v>
      </c>
      <c r="D2852" s="1" t="s">
        <v>6043</v>
      </c>
      <c r="E2852" s="1" t="s">
        <v>6054</v>
      </c>
      <c r="F2852" s="1" t="str">
        <f>HYPERLINK("https://talan.bank.gov.ua/get-user-certificate/J5325cxVqh62KYMhEj3e","Завантажити сертифікат")</f>
        <v>Завантажити сертифікат</v>
      </c>
    </row>
    <row r="2853" spans="1:6" x14ac:dyDescent="0.3">
      <c r="A2853" s="2">
        <v>2852</v>
      </c>
      <c r="B2853" s="1" t="s">
        <v>6055</v>
      </c>
      <c r="C2853" s="1" t="s">
        <v>6042</v>
      </c>
      <c r="D2853" s="1" t="s">
        <v>6043</v>
      </c>
      <c r="E2853" s="1" t="s">
        <v>6056</v>
      </c>
      <c r="F2853" s="1" t="str">
        <f>HYPERLINK("https://talan.bank.gov.ua/get-user-certificate/J5325j2chVJ_QVXrLG45","Завантажити сертифікат")</f>
        <v>Завантажити сертифікат</v>
      </c>
    </row>
    <row r="2854" spans="1:6" x14ac:dyDescent="0.3">
      <c r="A2854" s="2">
        <v>2853</v>
      </c>
      <c r="B2854" s="1" t="s">
        <v>6057</v>
      </c>
      <c r="C2854" s="1" t="s">
        <v>6042</v>
      </c>
      <c r="D2854" s="1" t="s">
        <v>6043</v>
      </c>
      <c r="E2854" s="1" t="s">
        <v>6058</v>
      </c>
      <c r="F2854" s="1" t="str">
        <f>HYPERLINK("https://talan.bank.gov.ua/get-user-certificate/J5325i0n5tNipHvF6SfN","Завантажити сертифікат")</f>
        <v>Завантажити сертифікат</v>
      </c>
    </row>
    <row r="2855" spans="1:6" ht="28.8" x14ac:dyDescent="0.3">
      <c r="A2855" s="2">
        <v>2854</v>
      </c>
      <c r="B2855" s="1" t="s">
        <v>6059</v>
      </c>
      <c r="C2855" s="1" t="s">
        <v>6042</v>
      </c>
      <c r="D2855" s="1" t="s">
        <v>6043</v>
      </c>
      <c r="E2855" s="1" t="s">
        <v>6060</v>
      </c>
      <c r="F2855" s="1" t="str">
        <f>HYPERLINK("https://talan.bank.gov.ua/get-user-certificate/J5325tWBAAbrQ7ZCrCtn","Завантажити сертифікат")</f>
        <v>Завантажити сертифікат</v>
      </c>
    </row>
    <row r="2856" spans="1:6" x14ac:dyDescent="0.3">
      <c r="A2856" s="2">
        <v>2855</v>
      </c>
      <c r="B2856" s="1" t="s">
        <v>6061</v>
      </c>
      <c r="C2856" s="1" t="s">
        <v>6042</v>
      </c>
      <c r="D2856" s="1" t="s">
        <v>6043</v>
      </c>
      <c r="E2856" s="1" t="s">
        <v>6062</v>
      </c>
      <c r="F2856" s="1" t="str">
        <f>HYPERLINK("https://talan.bank.gov.ua/get-user-certificate/J5325l0ur0Duxya-SkMI","Завантажити сертифікат")</f>
        <v>Завантажити сертифікат</v>
      </c>
    </row>
    <row r="2857" spans="1:6" x14ac:dyDescent="0.3">
      <c r="A2857" s="2">
        <v>2856</v>
      </c>
      <c r="B2857" s="1" t="s">
        <v>6063</v>
      </c>
      <c r="C2857" s="1" t="s">
        <v>6042</v>
      </c>
      <c r="D2857" s="1" t="s">
        <v>6043</v>
      </c>
      <c r="E2857" s="1" t="s">
        <v>6064</v>
      </c>
      <c r="F2857" s="1" t="str">
        <f>HYPERLINK("https://talan.bank.gov.ua/get-user-certificate/J5325ZR0YyNS_XifyS50","Завантажити сертифікат")</f>
        <v>Завантажити сертифікат</v>
      </c>
    </row>
    <row r="2858" spans="1:6" x14ac:dyDescent="0.3">
      <c r="A2858" s="2">
        <v>2857</v>
      </c>
      <c r="B2858" s="1" t="s">
        <v>6065</v>
      </c>
      <c r="C2858" s="1" t="s">
        <v>6042</v>
      </c>
      <c r="D2858" s="1" t="s">
        <v>6043</v>
      </c>
      <c r="E2858" s="1" t="s">
        <v>6066</v>
      </c>
      <c r="F2858" s="1" t="str">
        <f>HYPERLINK("https://talan.bank.gov.ua/get-user-certificate/J53256o6jM07hLtFQ0ZZ","Завантажити сертифікат")</f>
        <v>Завантажити сертифікат</v>
      </c>
    </row>
    <row r="2859" spans="1:6" x14ac:dyDescent="0.3">
      <c r="A2859" s="2">
        <v>2858</v>
      </c>
      <c r="B2859" s="1" t="s">
        <v>6067</v>
      </c>
      <c r="C2859" s="1" t="s">
        <v>6042</v>
      </c>
      <c r="D2859" s="1" t="s">
        <v>6043</v>
      </c>
      <c r="E2859" s="1" t="s">
        <v>6068</v>
      </c>
      <c r="F2859" s="1" t="str">
        <f>HYPERLINK("https://talan.bank.gov.ua/get-user-certificate/J5325EOJN1tF8_L5FfkF","Завантажити сертифікат")</f>
        <v>Завантажити сертифікат</v>
      </c>
    </row>
    <row r="2860" spans="1:6" x14ac:dyDescent="0.3">
      <c r="A2860" s="2">
        <v>2859</v>
      </c>
      <c r="B2860" s="1" t="s">
        <v>6069</v>
      </c>
      <c r="C2860" s="1" t="s">
        <v>6042</v>
      </c>
      <c r="D2860" s="1" t="s">
        <v>6043</v>
      </c>
      <c r="E2860" s="1" t="s">
        <v>6070</v>
      </c>
      <c r="F2860" s="1" t="str">
        <f>HYPERLINK("https://talan.bank.gov.ua/get-user-certificate/J5325JWOj-hRM5R8sRpl","Завантажити сертифікат")</f>
        <v>Завантажити сертифікат</v>
      </c>
    </row>
    <row r="2861" spans="1:6" x14ac:dyDescent="0.3">
      <c r="A2861" s="2">
        <v>2860</v>
      </c>
      <c r="B2861" s="1" t="s">
        <v>6071</v>
      </c>
      <c r="C2861" s="1" t="s">
        <v>6042</v>
      </c>
      <c r="D2861" s="1" t="s">
        <v>6043</v>
      </c>
      <c r="E2861" s="1" t="s">
        <v>6072</v>
      </c>
      <c r="F2861" s="1" t="str">
        <f>HYPERLINK("https://talan.bank.gov.ua/get-user-certificate/J5325YWkGap4V1K7W2pH","Завантажити сертифікат")</f>
        <v>Завантажити сертифікат</v>
      </c>
    </row>
    <row r="2862" spans="1:6" x14ac:dyDescent="0.3">
      <c r="A2862" s="2">
        <v>2861</v>
      </c>
      <c r="B2862" s="1" t="s">
        <v>6073</v>
      </c>
      <c r="C2862" s="1" t="s">
        <v>6042</v>
      </c>
      <c r="D2862" s="1" t="s">
        <v>6043</v>
      </c>
      <c r="E2862" s="1" t="s">
        <v>6074</v>
      </c>
      <c r="F2862" s="1" t="str">
        <f>HYPERLINK("https://talan.bank.gov.ua/get-user-certificate/J5325QfdrxaAyxQjF82p","Завантажити сертифікат")</f>
        <v>Завантажити сертифікат</v>
      </c>
    </row>
    <row r="2863" spans="1:6" x14ac:dyDescent="0.3">
      <c r="A2863" s="2">
        <v>2862</v>
      </c>
      <c r="B2863" s="1" t="s">
        <v>6075</v>
      </c>
      <c r="C2863" s="1" t="s">
        <v>6042</v>
      </c>
      <c r="D2863" s="1" t="s">
        <v>6043</v>
      </c>
      <c r="E2863" s="1" t="s">
        <v>6076</v>
      </c>
      <c r="F2863" s="1" t="str">
        <f>HYPERLINK("https://talan.bank.gov.ua/get-user-certificate/J5325gBGC-YCWZFzFfFV","Завантажити сертифікат")</f>
        <v>Завантажити сертифікат</v>
      </c>
    </row>
    <row r="2864" spans="1:6" x14ac:dyDescent="0.3">
      <c r="A2864" s="2">
        <v>2863</v>
      </c>
      <c r="B2864" s="1" t="s">
        <v>6077</v>
      </c>
      <c r="C2864" s="1" t="s">
        <v>6042</v>
      </c>
      <c r="D2864" s="1" t="s">
        <v>6043</v>
      </c>
      <c r="E2864" s="1" t="s">
        <v>6078</v>
      </c>
      <c r="F2864" s="1" t="str">
        <f>HYPERLINK("https://talan.bank.gov.ua/get-user-certificate/J5325iiLVb0huVwr30Pt","Завантажити сертифікат")</f>
        <v>Завантажити сертифікат</v>
      </c>
    </row>
    <row r="2865" spans="1:6" ht="28.8" x14ac:dyDescent="0.3">
      <c r="A2865" s="2">
        <v>2864</v>
      </c>
      <c r="B2865" s="1" t="s">
        <v>6079</v>
      </c>
      <c r="C2865" s="1" t="s">
        <v>6042</v>
      </c>
      <c r="D2865" s="1" t="s">
        <v>6043</v>
      </c>
      <c r="E2865" s="1" t="s">
        <v>6080</v>
      </c>
      <c r="F2865" s="1" t="str">
        <f>HYPERLINK("https://talan.bank.gov.ua/get-user-certificate/J5325-Z3MCvYXVk_Byw5","Завантажити сертифікат")</f>
        <v>Завантажити сертифікат</v>
      </c>
    </row>
    <row r="2866" spans="1:6" x14ac:dyDescent="0.3">
      <c r="A2866" s="2">
        <v>2865</v>
      </c>
      <c r="B2866" s="1" t="s">
        <v>6081</v>
      </c>
      <c r="C2866" s="1" t="s">
        <v>6042</v>
      </c>
      <c r="D2866" s="1" t="s">
        <v>6043</v>
      </c>
      <c r="E2866" s="1" t="s">
        <v>6082</v>
      </c>
      <c r="F2866" s="1" t="str">
        <f>HYPERLINK("https://talan.bank.gov.ua/get-user-certificate/J5325qaUXuoVyETJ1r0f","Завантажити сертифікат")</f>
        <v>Завантажити сертифікат</v>
      </c>
    </row>
    <row r="2867" spans="1:6" x14ac:dyDescent="0.3">
      <c r="A2867" s="2">
        <v>2866</v>
      </c>
      <c r="B2867" s="1" t="s">
        <v>6083</v>
      </c>
      <c r="C2867" s="1" t="s">
        <v>6042</v>
      </c>
      <c r="D2867" s="1" t="s">
        <v>6043</v>
      </c>
      <c r="E2867" s="1" t="s">
        <v>6084</v>
      </c>
      <c r="F2867" s="1" t="str">
        <f>HYPERLINK("https://talan.bank.gov.ua/get-user-certificate/J5325J8ib67eD4HrYyyN","Завантажити сертифікат")</f>
        <v>Завантажити сертифікат</v>
      </c>
    </row>
    <row r="2868" spans="1:6" x14ac:dyDescent="0.3">
      <c r="A2868" s="2">
        <v>2867</v>
      </c>
      <c r="B2868" s="1" t="s">
        <v>6085</v>
      </c>
      <c r="C2868" s="1" t="s">
        <v>6086</v>
      </c>
      <c r="D2868" s="1" t="s">
        <v>6087</v>
      </c>
      <c r="E2868" s="1" t="s">
        <v>6088</v>
      </c>
      <c r="F2868" s="1" t="str">
        <f>HYPERLINK("https://talan.bank.gov.ua/get-user-certificate/J5325oxBCHGIjBt09HLE","Завантажити сертифікат")</f>
        <v>Завантажити сертифікат</v>
      </c>
    </row>
    <row r="2869" spans="1:6" x14ac:dyDescent="0.3">
      <c r="A2869" s="2">
        <v>2868</v>
      </c>
      <c r="B2869" s="1" t="s">
        <v>6089</v>
      </c>
      <c r="C2869" s="1" t="s">
        <v>6086</v>
      </c>
      <c r="D2869" s="1" t="s">
        <v>6087</v>
      </c>
      <c r="E2869" s="1" t="s">
        <v>6090</v>
      </c>
      <c r="F2869" s="1" t="str">
        <f>HYPERLINK("https://talan.bank.gov.ua/get-user-certificate/J5325tn6vP2JgPATkbaP","Завантажити сертифікат")</f>
        <v>Завантажити сертифікат</v>
      </c>
    </row>
    <row r="2870" spans="1:6" x14ac:dyDescent="0.3">
      <c r="A2870" s="2">
        <v>2869</v>
      </c>
      <c r="B2870" s="1" t="s">
        <v>6091</v>
      </c>
      <c r="C2870" s="1" t="s">
        <v>6086</v>
      </c>
      <c r="D2870" s="1" t="s">
        <v>6087</v>
      </c>
      <c r="E2870" s="1" t="s">
        <v>6092</v>
      </c>
      <c r="F2870" s="1" t="str">
        <f>HYPERLINK("https://talan.bank.gov.ua/get-user-certificate/J53250jMjBTGerakwlA1","Завантажити сертифікат")</f>
        <v>Завантажити сертифікат</v>
      </c>
    </row>
    <row r="2871" spans="1:6" x14ac:dyDescent="0.3">
      <c r="A2871" s="2">
        <v>2870</v>
      </c>
      <c r="B2871" s="1" t="s">
        <v>6093</v>
      </c>
      <c r="C2871" s="1" t="s">
        <v>6086</v>
      </c>
      <c r="D2871" s="1" t="s">
        <v>6087</v>
      </c>
      <c r="E2871" s="1" t="s">
        <v>6094</v>
      </c>
      <c r="F2871" s="1" t="str">
        <f>HYPERLINK("https://talan.bank.gov.ua/get-user-certificate/J5325RxWcOp3J-bWaE3J","Завантажити сертифікат")</f>
        <v>Завантажити сертифікат</v>
      </c>
    </row>
    <row r="2872" spans="1:6" x14ac:dyDescent="0.3">
      <c r="A2872" s="2">
        <v>2871</v>
      </c>
      <c r="B2872" s="1" t="s">
        <v>6095</v>
      </c>
      <c r="C2872" s="1" t="s">
        <v>6086</v>
      </c>
      <c r="D2872" s="1" t="s">
        <v>6087</v>
      </c>
      <c r="E2872" s="1" t="s">
        <v>6096</v>
      </c>
      <c r="F2872" s="1" t="str">
        <f>HYPERLINK("https://talan.bank.gov.ua/get-user-certificate/J5325tDn8DGLOdgWgaSM","Завантажити сертифікат")</f>
        <v>Завантажити сертифікат</v>
      </c>
    </row>
    <row r="2873" spans="1:6" x14ac:dyDescent="0.3">
      <c r="A2873" s="2">
        <v>2872</v>
      </c>
      <c r="B2873" s="1" t="s">
        <v>6097</v>
      </c>
      <c r="C2873" s="1" t="s">
        <v>6086</v>
      </c>
      <c r="D2873" s="1" t="s">
        <v>6087</v>
      </c>
      <c r="E2873" s="1" t="s">
        <v>6098</v>
      </c>
      <c r="F2873" s="1" t="str">
        <f>HYPERLINK("https://talan.bank.gov.ua/get-user-certificate/J5325zOBuB-29DzOBQvu","Завантажити сертифікат")</f>
        <v>Завантажити сертифікат</v>
      </c>
    </row>
    <row r="2874" spans="1:6" x14ac:dyDescent="0.3">
      <c r="A2874" s="2">
        <v>2873</v>
      </c>
      <c r="B2874" s="1" t="s">
        <v>6099</v>
      </c>
      <c r="C2874" s="1" t="s">
        <v>6086</v>
      </c>
      <c r="D2874" s="1" t="s">
        <v>6087</v>
      </c>
      <c r="E2874" s="1" t="s">
        <v>6100</v>
      </c>
      <c r="F2874" s="1" t="str">
        <f>HYPERLINK("https://talan.bank.gov.ua/get-user-certificate/J5325Ff-4gFChlR8z2hK","Завантажити сертифікат")</f>
        <v>Завантажити сертифікат</v>
      </c>
    </row>
    <row r="2875" spans="1:6" x14ac:dyDescent="0.3">
      <c r="A2875" s="2">
        <v>2874</v>
      </c>
      <c r="B2875" s="1" t="s">
        <v>6101</v>
      </c>
      <c r="C2875" s="1" t="s">
        <v>6086</v>
      </c>
      <c r="D2875" s="1" t="s">
        <v>6087</v>
      </c>
      <c r="E2875" s="1" t="s">
        <v>6102</v>
      </c>
      <c r="F2875" s="1" t="str">
        <f>HYPERLINK("https://talan.bank.gov.ua/get-user-certificate/J53258d5lZ07_rZ7MK_H","Завантажити сертифікат")</f>
        <v>Завантажити сертифікат</v>
      </c>
    </row>
    <row r="2876" spans="1:6" x14ac:dyDescent="0.3">
      <c r="A2876" s="2">
        <v>2875</v>
      </c>
      <c r="B2876" s="1" t="s">
        <v>6103</v>
      </c>
      <c r="C2876" s="1" t="s">
        <v>6086</v>
      </c>
      <c r="D2876" s="1" t="s">
        <v>6087</v>
      </c>
      <c r="E2876" s="1" t="s">
        <v>6104</v>
      </c>
      <c r="F2876" s="1" t="str">
        <f>HYPERLINK("https://talan.bank.gov.ua/get-user-certificate/J5325fcWtd_WpOF5iA6N","Завантажити сертифікат")</f>
        <v>Завантажити сертифікат</v>
      </c>
    </row>
    <row r="2877" spans="1:6" x14ac:dyDescent="0.3">
      <c r="A2877" s="2">
        <v>2876</v>
      </c>
      <c r="B2877" s="1" t="s">
        <v>6105</v>
      </c>
      <c r="C2877" s="1" t="s">
        <v>6106</v>
      </c>
      <c r="D2877" s="1" t="s">
        <v>6107</v>
      </c>
      <c r="E2877" s="1" t="s">
        <v>6108</v>
      </c>
      <c r="F2877" s="1" t="str">
        <f>HYPERLINK("https://talan.bank.gov.ua/get-user-certificate/J5325PygYv-YImWdmk8V","Завантажити сертифікат")</f>
        <v>Завантажити сертифікат</v>
      </c>
    </row>
    <row r="2878" spans="1:6" x14ac:dyDescent="0.3">
      <c r="A2878" s="2">
        <v>2877</v>
      </c>
      <c r="B2878" s="1" t="s">
        <v>6109</v>
      </c>
      <c r="C2878" s="1" t="s">
        <v>6106</v>
      </c>
      <c r="D2878" s="1" t="s">
        <v>6107</v>
      </c>
      <c r="E2878" s="1" t="s">
        <v>6110</v>
      </c>
      <c r="F2878" s="1" t="str">
        <f>HYPERLINK("https://talan.bank.gov.ua/get-user-certificate/J5325-WhHIcfubyk5hFl","Завантажити сертифікат")</f>
        <v>Завантажити сертифікат</v>
      </c>
    </row>
    <row r="2879" spans="1:6" x14ac:dyDescent="0.3">
      <c r="A2879" s="2">
        <v>2878</v>
      </c>
      <c r="B2879" s="1" t="s">
        <v>6111</v>
      </c>
      <c r="C2879" s="1" t="s">
        <v>6106</v>
      </c>
      <c r="D2879" s="1" t="s">
        <v>6107</v>
      </c>
      <c r="E2879" s="1" t="s">
        <v>6112</v>
      </c>
      <c r="F2879" s="1" t="str">
        <f>HYPERLINK("https://talan.bank.gov.ua/get-user-certificate/J53255oDJmvCFo_wEW3F","Завантажити сертифікат")</f>
        <v>Завантажити сертифікат</v>
      </c>
    </row>
    <row r="2880" spans="1:6" x14ac:dyDescent="0.3">
      <c r="A2880" s="2">
        <v>2879</v>
      </c>
      <c r="B2880" s="1" t="s">
        <v>6113</v>
      </c>
      <c r="C2880" s="1" t="s">
        <v>6106</v>
      </c>
      <c r="D2880" s="1" t="s">
        <v>6107</v>
      </c>
      <c r="E2880" s="1" t="s">
        <v>6114</v>
      </c>
      <c r="F2880" s="1" t="str">
        <f>HYPERLINK("https://talan.bank.gov.ua/get-user-certificate/J5325t_PTE_BHaLfyck0","Завантажити сертифікат")</f>
        <v>Завантажити сертифікат</v>
      </c>
    </row>
    <row r="2881" spans="1:6" x14ac:dyDescent="0.3">
      <c r="A2881" s="2">
        <v>2880</v>
      </c>
      <c r="B2881" s="1" t="s">
        <v>6115</v>
      </c>
      <c r="C2881" s="1" t="s">
        <v>6106</v>
      </c>
      <c r="D2881" s="1" t="s">
        <v>6107</v>
      </c>
      <c r="E2881" s="1" t="s">
        <v>6116</v>
      </c>
      <c r="F2881" s="1" t="str">
        <f>HYPERLINK("https://talan.bank.gov.ua/get-user-certificate/J5325HS88C1gGwfZ7JTU","Завантажити сертифікат")</f>
        <v>Завантажити сертифікат</v>
      </c>
    </row>
    <row r="2882" spans="1:6" x14ac:dyDescent="0.3">
      <c r="A2882" s="2">
        <v>2881</v>
      </c>
      <c r="B2882" s="1" t="s">
        <v>6117</v>
      </c>
      <c r="C2882" s="1" t="s">
        <v>6106</v>
      </c>
      <c r="D2882" s="1" t="s">
        <v>6107</v>
      </c>
      <c r="E2882" s="1" t="s">
        <v>6118</v>
      </c>
      <c r="F2882" s="1" t="str">
        <f>HYPERLINK("https://talan.bank.gov.ua/get-user-certificate/J53259kzf8QPI3Egnt53","Завантажити сертифікат")</f>
        <v>Завантажити сертифікат</v>
      </c>
    </row>
    <row r="2883" spans="1:6" x14ac:dyDescent="0.3">
      <c r="A2883" s="2">
        <v>2882</v>
      </c>
      <c r="B2883" s="1" t="s">
        <v>6119</v>
      </c>
      <c r="C2883" s="1" t="s">
        <v>6106</v>
      </c>
      <c r="D2883" s="1" t="s">
        <v>6107</v>
      </c>
      <c r="E2883" s="1" t="s">
        <v>6120</v>
      </c>
      <c r="F2883" s="1" t="str">
        <f>HYPERLINK("https://talan.bank.gov.ua/get-user-certificate/J53257Z7K_xXvWPU1Uz6","Завантажити сертифікат")</f>
        <v>Завантажити сертифікат</v>
      </c>
    </row>
    <row r="2884" spans="1:6" x14ac:dyDescent="0.3">
      <c r="A2884" s="2">
        <v>2883</v>
      </c>
      <c r="B2884" s="1" t="s">
        <v>6121</v>
      </c>
      <c r="C2884" s="1" t="s">
        <v>6106</v>
      </c>
      <c r="D2884" s="1" t="s">
        <v>6107</v>
      </c>
      <c r="E2884" s="1" t="s">
        <v>6122</v>
      </c>
      <c r="F2884" s="1" t="str">
        <f>HYPERLINK("https://talan.bank.gov.ua/get-user-certificate/J53251A67QIaJhrl7BBF","Завантажити сертифікат")</f>
        <v>Завантажити сертифікат</v>
      </c>
    </row>
    <row r="2885" spans="1:6" x14ac:dyDescent="0.3">
      <c r="A2885" s="2">
        <v>2884</v>
      </c>
      <c r="B2885" s="1" t="s">
        <v>6123</v>
      </c>
      <c r="C2885" s="1" t="s">
        <v>6106</v>
      </c>
      <c r="D2885" s="1" t="s">
        <v>6107</v>
      </c>
      <c r="E2885" s="1" t="s">
        <v>6124</v>
      </c>
      <c r="F2885" s="1" t="str">
        <f>HYPERLINK("https://talan.bank.gov.ua/get-user-certificate/J5325-NG7z0kNgLOL8He","Завантажити сертифікат")</f>
        <v>Завантажити сертифікат</v>
      </c>
    </row>
    <row r="2886" spans="1:6" x14ac:dyDescent="0.3">
      <c r="A2886" s="2">
        <v>2885</v>
      </c>
      <c r="B2886" s="1" t="s">
        <v>6125</v>
      </c>
      <c r="C2886" s="1" t="s">
        <v>6106</v>
      </c>
      <c r="D2886" s="1" t="s">
        <v>6107</v>
      </c>
      <c r="E2886" s="1" t="s">
        <v>6126</v>
      </c>
      <c r="F2886" s="1" t="str">
        <f>HYPERLINK("https://talan.bank.gov.ua/get-user-certificate/J5325PFVvQgo__pDtB59","Завантажити сертифікат")</f>
        <v>Завантажити сертифікат</v>
      </c>
    </row>
    <row r="2887" spans="1:6" x14ac:dyDescent="0.3">
      <c r="A2887" s="2">
        <v>2886</v>
      </c>
      <c r="B2887" s="1" t="s">
        <v>6127</v>
      </c>
      <c r="C2887" s="1" t="s">
        <v>6128</v>
      </c>
      <c r="D2887" s="1" t="s">
        <v>6129</v>
      </c>
      <c r="E2887" s="1" t="s">
        <v>6130</v>
      </c>
      <c r="F2887" s="1" t="str">
        <f>HYPERLINK("https://talan.bank.gov.ua/get-user-certificate/J5325g4sqFHhz0m9iXJI","Завантажити сертифікат")</f>
        <v>Завантажити сертифікат</v>
      </c>
    </row>
    <row r="2888" spans="1:6" x14ac:dyDescent="0.3">
      <c r="A2888" s="2">
        <v>2887</v>
      </c>
      <c r="B2888" s="1" t="s">
        <v>6131</v>
      </c>
      <c r="C2888" s="1" t="s">
        <v>6128</v>
      </c>
      <c r="D2888" s="1" t="s">
        <v>6129</v>
      </c>
      <c r="E2888" s="1" t="s">
        <v>6132</v>
      </c>
      <c r="F2888" s="1" t="str">
        <f>HYPERLINK("https://talan.bank.gov.ua/get-user-certificate/J5325i1UeMTbDPRF6O4i","Завантажити сертифікат")</f>
        <v>Завантажити сертифікат</v>
      </c>
    </row>
    <row r="2889" spans="1:6" x14ac:dyDescent="0.3">
      <c r="A2889" s="2">
        <v>2888</v>
      </c>
      <c r="B2889" s="1" t="s">
        <v>6133</v>
      </c>
      <c r="C2889" s="1" t="s">
        <v>6128</v>
      </c>
      <c r="D2889" s="1" t="s">
        <v>6129</v>
      </c>
      <c r="E2889" s="1" t="s">
        <v>6134</v>
      </c>
      <c r="F2889" s="1" t="str">
        <f>HYPERLINK("https://talan.bank.gov.ua/get-user-certificate/J5325AiTa671-wefS0Pp","Завантажити сертифікат")</f>
        <v>Завантажити сертифікат</v>
      </c>
    </row>
    <row r="2890" spans="1:6" ht="28.8" x14ac:dyDescent="0.3">
      <c r="A2890" s="2">
        <v>2889</v>
      </c>
      <c r="B2890" s="1" t="s">
        <v>6135</v>
      </c>
      <c r="C2890" s="1" t="s">
        <v>6128</v>
      </c>
      <c r="D2890" s="1" t="s">
        <v>6129</v>
      </c>
      <c r="E2890" s="1" t="s">
        <v>6136</v>
      </c>
      <c r="F2890" s="1" t="str">
        <f>HYPERLINK("https://talan.bank.gov.ua/get-user-certificate/J5325ldlDVdOEt3LKGmJ","Завантажити сертифікат")</f>
        <v>Завантажити сертифікат</v>
      </c>
    </row>
    <row r="2891" spans="1:6" ht="28.8" x14ac:dyDescent="0.3">
      <c r="A2891" s="2">
        <v>2890</v>
      </c>
      <c r="B2891" s="1" t="s">
        <v>6137</v>
      </c>
      <c r="C2891" s="1" t="s">
        <v>6128</v>
      </c>
      <c r="D2891" s="1" t="s">
        <v>6129</v>
      </c>
      <c r="E2891" s="1" t="s">
        <v>6138</v>
      </c>
      <c r="F2891" s="1" t="str">
        <f>HYPERLINK("https://talan.bank.gov.ua/get-user-certificate/J53252KH7gE-RtuGLcIo","Завантажити сертифікат")</f>
        <v>Завантажити сертифікат</v>
      </c>
    </row>
    <row r="2892" spans="1:6" x14ac:dyDescent="0.3">
      <c r="A2892" s="2">
        <v>2891</v>
      </c>
      <c r="B2892" s="1" t="s">
        <v>6139</v>
      </c>
      <c r="C2892" s="1" t="s">
        <v>6140</v>
      </c>
      <c r="D2892" s="1" t="s">
        <v>6141</v>
      </c>
      <c r="E2892" s="1" t="s">
        <v>6142</v>
      </c>
      <c r="F2892" s="1" t="str">
        <f>HYPERLINK("https://talan.bank.gov.ua/get-user-certificate/J5325MG6rz4ImE3btqiR","Завантажити сертифікат")</f>
        <v>Завантажити сертифікат</v>
      </c>
    </row>
    <row r="2893" spans="1:6" x14ac:dyDescent="0.3">
      <c r="A2893" s="2">
        <v>2892</v>
      </c>
      <c r="B2893" s="1" t="s">
        <v>6143</v>
      </c>
      <c r="C2893" s="1" t="s">
        <v>6140</v>
      </c>
      <c r="D2893" s="1" t="s">
        <v>6141</v>
      </c>
      <c r="E2893" s="1" t="s">
        <v>6144</v>
      </c>
      <c r="F2893" s="1" t="str">
        <f>HYPERLINK("https://talan.bank.gov.ua/get-user-certificate/J5325n7MXa46PyZYJ0Ut","Завантажити сертифікат")</f>
        <v>Завантажити сертифікат</v>
      </c>
    </row>
    <row r="2894" spans="1:6" x14ac:dyDescent="0.3">
      <c r="A2894" s="2">
        <v>2893</v>
      </c>
      <c r="B2894" s="1" t="s">
        <v>6145</v>
      </c>
      <c r="C2894" s="1" t="s">
        <v>6140</v>
      </c>
      <c r="D2894" s="1" t="s">
        <v>6141</v>
      </c>
      <c r="E2894" s="1" t="s">
        <v>6146</v>
      </c>
      <c r="F2894" s="1" t="str">
        <f>HYPERLINK("https://talan.bank.gov.ua/get-user-certificate/J532590bSX09tb0Mjvzp","Завантажити сертифікат")</f>
        <v>Завантажити сертифікат</v>
      </c>
    </row>
    <row r="2895" spans="1:6" x14ac:dyDescent="0.3">
      <c r="A2895" s="2">
        <v>2894</v>
      </c>
      <c r="B2895" s="1" t="s">
        <v>6147</v>
      </c>
      <c r="C2895" s="1" t="s">
        <v>6140</v>
      </c>
      <c r="D2895" s="1" t="s">
        <v>6141</v>
      </c>
      <c r="E2895" s="1" t="s">
        <v>6148</v>
      </c>
      <c r="F2895" s="1" t="str">
        <f>HYPERLINK("https://talan.bank.gov.ua/get-user-certificate/J5325cvJCL4KGIEjZel1","Завантажити сертифікат")</f>
        <v>Завантажити сертифікат</v>
      </c>
    </row>
    <row r="2896" spans="1:6" x14ac:dyDescent="0.3">
      <c r="A2896" s="2">
        <v>2895</v>
      </c>
      <c r="B2896" s="1" t="s">
        <v>6149</v>
      </c>
      <c r="C2896" s="1" t="s">
        <v>6140</v>
      </c>
      <c r="D2896" s="1" t="s">
        <v>6141</v>
      </c>
      <c r="E2896" s="1" t="s">
        <v>6150</v>
      </c>
      <c r="F2896" s="1" t="str">
        <f>HYPERLINK("https://talan.bank.gov.ua/get-user-certificate/J5325L3QKztoofVvyAaH","Завантажити сертифікат")</f>
        <v>Завантажити сертифікат</v>
      </c>
    </row>
    <row r="2897" spans="1:6" x14ac:dyDescent="0.3">
      <c r="A2897" s="2">
        <v>2896</v>
      </c>
      <c r="B2897" s="1" t="s">
        <v>6151</v>
      </c>
      <c r="C2897" s="1" t="s">
        <v>6140</v>
      </c>
      <c r="D2897" s="1" t="s">
        <v>6141</v>
      </c>
      <c r="E2897" s="1" t="s">
        <v>6152</v>
      </c>
      <c r="F2897" s="1" t="str">
        <f>HYPERLINK("https://talan.bank.gov.ua/get-user-certificate/J5325hwEtWKxQgvgMsBv","Завантажити сертифікат")</f>
        <v>Завантажити сертифікат</v>
      </c>
    </row>
    <row r="2898" spans="1:6" x14ac:dyDescent="0.3">
      <c r="A2898" s="2">
        <v>2897</v>
      </c>
      <c r="B2898" s="1" t="s">
        <v>6153</v>
      </c>
      <c r="C2898" s="1" t="s">
        <v>6140</v>
      </c>
      <c r="D2898" s="1" t="s">
        <v>6141</v>
      </c>
      <c r="E2898" s="1" t="s">
        <v>6154</v>
      </c>
      <c r="F2898" s="1" t="str">
        <f>HYPERLINK("https://talan.bank.gov.ua/get-user-certificate/J5325h5e6lPLcB0qS8Er","Завантажити сертифікат")</f>
        <v>Завантажити сертифікат</v>
      </c>
    </row>
    <row r="2899" spans="1:6" x14ac:dyDescent="0.3">
      <c r="A2899" s="2">
        <v>2898</v>
      </c>
      <c r="B2899" s="1" t="s">
        <v>6155</v>
      </c>
      <c r="C2899" s="1" t="s">
        <v>6140</v>
      </c>
      <c r="D2899" s="1" t="s">
        <v>6141</v>
      </c>
      <c r="E2899" s="1" t="s">
        <v>6156</v>
      </c>
      <c r="F2899" s="1" t="str">
        <f>HYPERLINK("https://talan.bank.gov.ua/get-user-certificate/J5325MbaZ8_-0ryGuyvm","Завантажити сертифікат")</f>
        <v>Завантажити сертифікат</v>
      </c>
    </row>
    <row r="2900" spans="1:6" x14ac:dyDescent="0.3">
      <c r="A2900" s="2">
        <v>2899</v>
      </c>
      <c r="B2900" s="1" t="s">
        <v>6157</v>
      </c>
      <c r="C2900" s="1" t="s">
        <v>6140</v>
      </c>
      <c r="D2900" s="1" t="s">
        <v>6141</v>
      </c>
      <c r="E2900" s="1" t="s">
        <v>6158</v>
      </c>
      <c r="F2900" s="1" t="str">
        <f>HYPERLINK("https://talan.bank.gov.ua/get-user-certificate/J5325b7pKHSlSqaZ5HBB","Завантажити сертифікат")</f>
        <v>Завантажити сертифікат</v>
      </c>
    </row>
    <row r="2901" spans="1:6" x14ac:dyDescent="0.3">
      <c r="A2901" s="2">
        <v>2900</v>
      </c>
      <c r="B2901" s="1" t="s">
        <v>6159</v>
      </c>
      <c r="C2901" s="1" t="s">
        <v>6140</v>
      </c>
      <c r="D2901" s="1" t="s">
        <v>6141</v>
      </c>
      <c r="E2901" s="1" t="s">
        <v>6160</v>
      </c>
      <c r="F2901" s="1" t="str">
        <f>HYPERLINK("https://talan.bank.gov.ua/get-user-certificate/J5325uLR63zMGz3R3DEA","Завантажити сертифікат")</f>
        <v>Завантажити сертифікат</v>
      </c>
    </row>
    <row r="2902" spans="1:6" x14ac:dyDescent="0.3">
      <c r="A2902" s="2">
        <v>2901</v>
      </c>
      <c r="B2902" s="1" t="s">
        <v>6161</v>
      </c>
      <c r="C2902" s="1" t="s">
        <v>6140</v>
      </c>
      <c r="D2902" s="1" t="s">
        <v>6141</v>
      </c>
      <c r="E2902" s="1" t="s">
        <v>6162</v>
      </c>
      <c r="F2902" s="1" t="str">
        <f>HYPERLINK("https://talan.bank.gov.ua/get-user-certificate/J53252b4NM34WxK7Iyll","Завантажити сертифікат")</f>
        <v>Завантажити сертифікат</v>
      </c>
    </row>
    <row r="2903" spans="1:6" x14ac:dyDescent="0.3">
      <c r="A2903" s="2">
        <v>2902</v>
      </c>
      <c r="B2903" s="1" t="s">
        <v>6163</v>
      </c>
      <c r="C2903" s="1" t="s">
        <v>6140</v>
      </c>
      <c r="D2903" s="1" t="s">
        <v>6141</v>
      </c>
      <c r="E2903" s="1" t="s">
        <v>6164</v>
      </c>
      <c r="F2903" s="1" t="str">
        <f>HYPERLINK("https://talan.bank.gov.ua/get-user-certificate/J5325AWIhaOmYMNpbzEh","Завантажити сертифікат")</f>
        <v>Завантажити сертифікат</v>
      </c>
    </row>
    <row r="2904" spans="1:6" x14ac:dyDescent="0.3">
      <c r="A2904" s="2">
        <v>2903</v>
      </c>
      <c r="B2904" s="1" t="s">
        <v>6165</v>
      </c>
      <c r="C2904" s="1" t="s">
        <v>6140</v>
      </c>
      <c r="D2904" s="1" t="s">
        <v>6141</v>
      </c>
      <c r="E2904" s="1" t="s">
        <v>6166</v>
      </c>
      <c r="F2904" s="1" t="str">
        <f>HYPERLINK("https://talan.bank.gov.ua/get-user-certificate/J53255jTiG8_aJcoCLeI","Завантажити сертифікат")</f>
        <v>Завантажити сертифікат</v>
      </c>
    </row>
    <row r="2905" spans="1:6" ht="28.8" x14ac:dyDescent="0.3">
      <c r="A2905" s="2">
        <v>2904</v>
      </c>
      <c r="B2905" s="1" t="s">
        <v>6167</v>
      </c>
      <c r="C2905" s="1" t="s">
        <v>6140</v>
      </c>
      <c r="D2905" s="1" t="s">
        <v>6141</v>
      </c>
      <c r="E2905" s="1" t="s">
        <v>6168</v>
      </c>
      <c r="F2905" s="1" t="str">
        <f>HYPERLINK("https://talan.bank.gov.ua/get-user-certificate/J5325T7F0VVCDe8IG9pS","Завантажити сертифікат")</f>
        <v>Завантажити сертифікат</v>
      </c>
    </row>
    <row r="2906" spans="1:6" x14ac:dyDescent="0.3">
      <c r="A2906" s="2">
        <v>2905</v>
      </c>
      <c r="B2906" s="1" t="s">
        <v>6169</v>
      </c>
      <c r="C2906" s="1" t="s">
        <v>6170</v>
      </c>
      <c r="D2906" s="1" t="s">
        <v>6171</v>
      </c>
      <c r="E2906" s="1" t="s">
        <v>6172</v>
      </c>
      <c r="F2906" s="1" t="str">
        <f>HYPERLINK("https://talan.bank.gov.ua/get-user-certificate/J53257mPpzBSrdxhWkeG","Завантажити сертифікат")</f>
        <v>Завантажити сертифікат</v>
      </c>
    </row>
    <row r="2907" spans="1:6" x14ac:dyDescent="0.3">
      <c r="A2907" s="2">
        <v>2906</v>
      </c>
      <c r="B2907" s="1" t="s">
        <v>6173</v>
      </c>
      <c r="C2907" s="1" t="s">
        <v>6170</v>
      </c>
      <c r="D2907" s="1" t="s">
        <v>6171</v>
      </c>
      <c r="E2907" s="1" t="s">
        <v>6174</v>
      </c>
      <c r="F2907" s="1" t="str">
        <f>HYPERLINK("https://talan.bank.gov.ua/get-user-certificate/J5325IHs6FEt0A_ZyySA","Завантажити сертифікат")</f>
        <v>Завантажити сертифікат</v>
      </c>
    </row>
    <row r="2908" spans="1:6" x14ac:dyDescent="0.3">
      <c r="A2908" s="2">
        <v>2907</v>
      </c>
      <c r="B2908" s="1" t="s">
        <v>6175</v>
      </c>
      <c r="C2908" s="1" t="s">
        <v>6170</v>
      </c>
      <c r="D2908" s="1" t="s">
        <v>6171</v>
      </c>
      <c r="E2908" s="1" t="s">
        <v>6176</v>
      </c>
      <c r="F2908" s="1" t="str">
        <f>HYPERLINK("https://talan.bank.gov.ua/get-user-certificate/J5325zSOTrgYpU8zy9jK","Завантажити сертифікат")</f>
        <v>Завантажити сертифікат</v>
      </c>
    </row>
    <row r="2909" spans="1:6" x14ac:dyDescent="0.3">
      <c r="A2909" s="2">
        <v>2908</v>
      </c>
      <c r="B2909" s="1" t="s">
        <v>6177</v>
      </c>
      <c r="C2909" s="1" t="s">
        <v>6170</v>
      </c>
      <c r="D2909" s="1" t="s">
        <v>6171</v>
      </c>
      <c r="E2909" s="1" t="s">
        <v>6178</v>
      </c>
      <c r="F2909" s="1" t="str">
        <f>HYPERLINK("https://talan.bank.gov.ua/get-user-certificate/J53251n4Bwj4FGS4bH1m","Завантажити сертифікат")</f>
        <v>Завантажити сертифікат</v>
      </c>
    </row>
    <row r="2910" spans="1:6" x14ac:dyDescent="0.3">
      <c r="A2910" s="2">
        <v>2909</v>
      </c>
      <c r="B2910" s="1" t="s">
        <v>6179</v>
      </c>
      <c r="C2910" s="1" t="s">
        <v>6170</v>
      </c>
      <c r="D2910" s="1" t="s">
        <v>6171</v>
      </c>
      <c r="E2910" s="1" t="s">
        <v>6180</v>
      </c>
      <c r="F2910" s="1" t="str">
        <f>HYPERLINK("https://talan.bank.gov.ua/get-user-certificate/J5325H-T34J_npPJxfpQ","Завантажити сертифікат")</f>
        <v>Завантажити сертифікат</v>
      </c>
    </row>
    <row r="2911" spans="1:6" x14ac:dyDescent="0.3">
      <c r="A2911" s="2">
        <v>2910</v>
      </c>
      <c r="B2911" s="1" t="s">
        <v>6181</v>
      </c>
      <c r="C2911" s="1" t="s">
        <v>6170</v>
      </c>
      <c r="D2911" s="1" t="s">
        <v>6171</v>
      </c>
      <c r="E2911" s="1" t="s">
        <v>6182</v>
      </c>
      <c r="F2911" s="1" t="str">
        <f>HYPERLINK("https://talan.bank.gov.ua/get-user-certificate/J5325iEZCu9IG8p2XCAB","Завантажити сертифікат")</f>
        <v>Завантажити сертифікат</v>
      </c>
    </row>
    <row r="2912" spans="1:6" x14ac:dyDescent="0.3">
      <c r="A2912" s="2">
        <v>2911</v>
      </c>
      <c r="B2912" s="1" t="s">
        <v>6183</v>
      </c>
      <c r="C2912" s="1" t="s">
        <v>6170</v>
      </c>
      <c r="D2912" s="1" t="s">
        <v>6171</v>
      </c>
      <c r="E2912" s="1" t="s">
        <v>6184</v>
      </c>
      <c r="F2912" s="1" t="str">
        <f>HYPERLINK("https://talan.bank.gov.ua/get-user-certificate/J5325ppsPSZec6dH9XPZ","Завантажити сертифікат")</f>
        <v>Завантажити сертифікат</v>
      </c>
    </row>
    <row r="2913" spans="1:6" x14ac:dyDescent="0.3">
      <c r="A2913" s="2">
        <v>2912</v>
      </c>
      <c r="B2913" s="1" t="s">
        <v>6185</v>
      </c>
      <c r="C2913" s="1" t="s">
        <v>6170</v>
      </c>
      <c r="D2913" s="1" t="s">
        <v>6171</v>
      </c>
      <c r="E2913" s="1" t="s">
        <v>6186</v>
      </c>
      <c r="F2913" s="1" t="str">
        <f>HYPERLINK("https://talan.bank.gov.ua/get-user-certificate/J5325jVQcJo4q8u6l5fw","Завантажити сертифікат")</f>
        <v>Завантажити сертифікат</v>
      </c>
    </row>
    <row r="2914" spans="1:6" x14ac:dyDescent="0.3">
      <c r="A2914" s="2">
        <v>2913</v>
      </c>
      <c r="B2914" s="1" t="s">
        <v>6187</v>
      </c>
      <c r="C2914" s="1" t="s">
        <v>6170</v>
      </c>
      <c r="D2914" s="1" t="s">
        <v>6171</v>
      </c>
      <c r="E2914" s="1" t="s">
        <v>6188</v>
      </c>
      <c r="F2914" s="1" t="str">
        <f>HYPERLINK("https://talan.bank.gov.ua/get-user-certificate/J5325--oyi0jgaC9FPGP","Завантажити сертифікат")</f>
        <v>Завантажити сертифікат</v>
      </c>
    </row>
    <row r="2915" spans="1:6" x14ac:dyDescent="0.3">
      <c r="A2915" s="2">
        <v>2914</v>
      </c>
      <c r="B2915" s="1" t="s">
        <v>6189</v>
      </c>
      <c r="C2915" s="1" t="s">
        <v>6170</v>
      </c>
      <c r="D2915" s="1" t="s">
        <v>6171</v>
      </c>
      <c r="E2915" s="1" t="s">
        <v>6180</v>
      </c>
      <c r="F2915" s="1" t="str">
        <f>HYPERLINK("https://talan.bank.gov.ua/get-user-certificate/J5325j9imPsokhbaQ8Qa","Завантажити сертифікат")</f>
        <v>Завантажити сертифікат</v>
      </c>
    </row>
    <row r="2916" spans="1:6" x14ac:dyDescent="0.3">
      <c r="A2916" s="2">
        <v>2915</v>
      </c>
      <c r="B2916" s="1" t="s">
        <v>6190</v>
      </c>
      <c r="C2916" s="1" t="s">
        <v>6170</v>
      </c>
      <c r="D2916" s="1" t="s">
        <v>6171</v>
      </c>
      <c r="E2916" s="1" t="s">
        <v>6191</v>
      </c>
      <c r="F2916" s="1" t="str">
        <f>HYPERLINK("https://talan.bank.gov.ua/get-user-certificate/J5325EYOKA65RIcYtYke","Завантажити сертифікат")</f>
        <v>Завантажити сертифікат</v>
      </c>
    </row>
    <row r="2917" spans="1:6" x14ac:dyDescent="0.3">
      <c r="A2917" s="2">
        <v>2916</v>
      </c>
      <c r="B2917" s="1" t="s">
        <v>6192</v>
      </c>
      <c r="C2917" s="1" t="s">
        <v>6170</v>
      </c>
      <c r="D2917" s="1" t="s">
        <v>6171</v>
      </c>
      <c r="E2917" s="1" t="s">
        <v>6193</v>
      </c>
      <c r="F2917" s="1" t="str">
        <f>HYPERLINK("https://talan.bank.gov.ua/get-user-certificate/J53253xgH2gK4dAXW52m","Завантажити сертифікат")</f>
        <v>Завантажити сертифікат</v>
      </c>
    </row>
    <row r="2918" spans="1:6" x14ac:dyDescent="0.3">
      <c r="A2918" s="2">
        <v>2917</v>
      </c>
      <c r="B2918" s="1" t="s">
        <v>6194</v>
      </c>
      <c r="C2918" s="1" t="s">
        <v>6170</v>
      </c>
      <c r="D2918" s="1" t="s">
        <v>6171</v>
      </c>
      <c r="E2918" s="1" t="s">
        <v>6195</v>
      </c>
      <c r="F2918" s="1" t="str">
        <f>HYPERLINK("https://talan.bank.gov.ua/get-user-certificate/J5325_yytk1qsURWAASz","Завантажити сертифікат")</f>
        <v>Завантажити сертифікат</v>
      </c>
    </row>
    <row r="2919" spans="1:6" x14ac:dyDescent="0.3">
      <c r="A2919" s="2">
        <v>2918</v>
      </c>
      <c r="B2919" s="1" t="s">
        <v>6196</v>
      </c>
      <c r="C2919" s="1" t="s">
        <v>6170</v>
      </c>
      <c r="D2919" s="1" t="s">
        <v>6171</v>
      </c>
      <c r="E2919" s="1" t="s">
        <v>6197</v>
      </c>
      <c r="F2919" s="1" t="str">
        <f>HYPERLINK("https://talan.bank.gov.ua/get-user-certificate/J5325z3AAFy1UcFeIJJz","Завантажити сертифікат")</f>
        <v>Завантажити сертифікат</v>
      </c>
    </row>
    <row r="2920" spans="1:6" x14ac:dyDescent="0.3">
      <c r="A2920" s="2">
        <v>2919</v>
      </c>
      <c r="B2920" s="1" t="s">
        <v>6198</v>
      </c>
      <c r="C2920" s="1" t="s">
        <v>6170</v>
      </c>
      <c r="D2920" s="1" t="s">
        <v>6171</v>
      </c>
      <c r="E2920" s="1" t="s">
        <v>6199</v>
      </c>
      <c r="F2920" s="1" t="str">
        <f>HYPERLINK("https://talan.bank.gov.ua/get-user-certificate/J5325A6mKtJVynphUHV8","Завантажити сертифікат")</f>
        <v>Завантажити сертифікат</v>
      </c>
    </row>
    <row r="2921" spans="1:6" x14ac:dyDescent="0.3">
      <c r="A2921" s="2">
        <v>2920</v>
      </c>
      <c r="B2921" s="1" t="s">
        <v>6200</v>
      </c>
      <c r="C2921" s="1" t="s">
        <v>6170</v>
      </c>
      <c r="D2921" s="1" t="s">
        <v>6171</v>
      </c>
      <c r="E2921" s="1" t="s">
        <v>6201</v>
      </c>
      <c r="F2921" s="1" t="str">
        <f>HYPERLINK("https://talan.bank.gov.ua/get-user-certificate/J5325HSPzB-PNqE2ayaW","Завантажити сертифікат")</f>
        <v>Завантажити сертифікат</v>
      </c>
    </row>
    <row r="2922" spans="1:6" x14ac:dyDescent="0.3">
      <c r="A2922" s="2">
        <v>2921</v>
      </c>
      <c r="B2922" s="1" t="s">
        <v>6202</v>
      </c>
      <c r="C2922" s="1" t="s">
        <v>6170</v>
      </c>
      <c r="D2922" s="1" t="s">
        <v>6171</v>
      </c>
      <c r="E2922" s="1" t="s">
        <v>6203</v>
      </c>
      <c r="F2922" s="1" t="str">
        <f>HYPERLINK("https://talan.bank.gov.ua/get-user-certificate/J5325Z1Jk-3Vgx6xcWZ6","Завантажити сертифікат")</f>
        <v>Завантажити сертифікат</v>
      </c>
    </row>
    <row r="2923" spans="1:6" x14ac:dyDescent="0.3">
      <c r="A2923" s="2">
        <v>2922</v>
      </c>
      <c r="B2923" s="1" t="s">
        <v>6204</v>
      </c>
      <c r="C2923" s="1" t="s">
        <v>6170</v>
      </c>
      <c r="D2923" s="1" t="s">
        <v>6171</v>
      </c>
      <c r="E2923" s="1" t="s">
        <v>6205</v>
      </c>
      <c r="F2923" s="1" t="str">
        <f>HYPERLINK("https://talan.bank.gov.ua/get-user-certificate/J5325vzXkhTvZYoFiIH9","Завантажити сертифікат")</f>
        <v>Завантажити сертифікат</v>
      </c>
    </row>
    <row r="2924" spans="1:6" x14ac:dyDescent="0.3">
      <c r="A2924" s="2">
        <v>2923</v>
      </c>
      <c r="B2924" s="1" t="s">
        <v>6206</v>
      </c>
      <c r="C2924" s="1" t="s">
        <v>6170</v>
      </c>
      <c r="D2924" s="1" t="s">
        <v>6171</v>
      </c>
      <c r="E2924" s="1" t="s">
        <v>6207</v>
      </c>
      <c r="F2924" s="1" t="str">
        <f>HYPERLINK("https://talan.bank.gov.ua/get-user-certificate/J5325pic6M1s8CWD1Lwz","Завантажити сертифікат")</f>
        <v>Завантажити сертифікат</v>
      </c>
    </row>
    <row r="2925" spans="1:6" x14ac:dyDescent="0.3">
      <c r="A2925" s="2">
        <v>2924</v>
      </c>
      <c r="B2925" s="1" t="s">
        <v>6208</v>
      </c>
      <c r="C2925" s="1" t="s">
        <v>6170</v>
      </c>
      <c r="D2925" s="1" t="s">
        <v>6171</v>
      </c>
      <c r="E2925" s="1" t="s">
        <v>6209</v>
      </c>
      <c r="F2925" s="1" t="str">
        <f>HYPERLINK("https://talan.bank.gov.ua/get-user-certificate/J5325p9-MlhaRZE81U2z","Завантажити сертифікат")</f>
        <v>Завантажити сертифікат</v>
      </c>
    </row>
    <row r="2926" spans="1:6" x14ac:dyDescent="0.3">
      <c r="A2926" s="2">
        <v>2925</v>
      </c>
      <c r="B2926" s="1" t="s">
        <v>6210</v>
      </c>
      <c r="C2926" s="1" t="s">
        <v>6170</v>
      </c>
      <c r="D2926" s="1" t="s">
        <v>6171</v>
      </c>
      <c r="E2926" s="1" t="s">
        <v>6211</v>
      </c>
      <c r="F2926" s="1" t="str">
        <f>HYPERLINK("https://talan.bank.gov.ua/get-user-certificate/J5325-qU5SuwgIth-HjY","Завантажити сертифікат")</f>
        <v>Завантажити сертифікат</v>
      </c>
    </row>
    <row r="2927" spans="1:6" x14ac:dyDescent="0.3">
      <c r="A2927" s="2">
        <v>2926</v>
      </c>
      <c r="B2927" s="1" t="s">
        <v>6212</v>
      </c>
      <c r="C2927" s="1" t="s">
        <v>6170</v>
      </c>
      <c r="D2927" s="1" t="s">
        <v>6171</v>
      </c>
      <c r="E2927" s="1" t="s">
        <v>6213</v>
      </c>
      <c r="F2927" s="1" t="str">
        <f>HYPERLINK("https://talan.bank.gov.ua/get-user-certificate/J5325HFowQp9UGTSMM7V","Завантажити сертифікат")</f>
        <v>Завантажити сертифікат</v>
      </c>
    </row>
    <row r="2928" spans="1:6" x14ac:dyDescent="0.3">
      <c r="A2928" s="2">
        <v>2927</v>
      </c>
      <c r="B2928" s="1" t="s">
        <v>6214</v>
      </c>
      <c r="C2928" s="1" t="s">
        <v>6170</v>
      </c>
      <c r="D2928" s="1" t="s">
        <v>6171</v>
      </c>
      <c r="E2928" s="1" t="s">
        <v>6215</v>
      </c>
      <c r="F2928" s="1" t="str">
        <f>HYPERLINK("https://talan.bank.gov.ua/get-user-certificate/J5325aXRazHdBWjvn2_X","Завантажити сертифікат")</f>
        <v>Завантажити сертифікат</v>
      </c>
    </row>
    <row r="2929" spans="1:6" x14ac:dyDescent="0.3">
      <c r="A2929" s="2">
        <v>2928</v>
      </c>
      <c r="B2929" s="1" t="s">
        <v>6216</v>
      </c>
      <c r="C2929" s="1" t="s">
        <v>6170</v>
      </c>
      <c r="D2929" s="1" t="s">
        <v>6171</v>
      </c>
      <c r="E2929" s="1" t="s">
        <v>6217</v>
      </c>
      <c r="F2929" s="1" t="str">
        <f>HYPERLINK("https://talan.bank.gov.ua/get-user-certificate/J5325TzD4mpoRUH_NJDW","Завантажити сертифікат")</f>
        <v>Завантажити сертифікат</v>
      </c>
    </row>
    <row r="2930" spans="1:6" x14ac:dyDescent="0.3">
      <c r="A2930" s="2">
        <v>2929</v>
      </c>
      <c r="B2930" s="1" t="s">
        <v>6218</v>
      </c>
      <c r="C2930" s="1" t="s">
        <v>6170</v>
      </c>
      <c r="D2930" s="1" t="s">
        <v>6171</v>
      </c>
      <c r="E2930" s="1" t="s">
        <v>6219</v>
      </c>
      <c r="F2930" s="1" t="str">
        <f>HYPERLINK("https://talan.bank.gov.ua/get-user-certificate/J5325znPPGcXtPrax9mC","Завантажити сертифікат")</f>
        <v>Завантажити сертифікат</v>
      </c>
    </row>
    <row r="2931" spans="1:6" x14ac:dyDescent="0.3">
      <c r="A2931" s="2">
        <v>2930</v>
      </c>
      <c r="B2931" s="1" t="s">
        <v>6220</v>
      </c>
      <c r="C2931" s="1" t="s">
        <v>6170</v>
      </c>
      <c r="D2931" s="1" t="s">
        <v>6171</v>
      </c>
      <c r="E2931" s="1" t="s">
        <v>6221</v>
      </c>
      <c r="F2931" s="1" t="str">
        <f>HYPERLINK("https://talan.bank.gov.ua/get-user-certificate/J5325yBpNmFgTc-djOnA","Завантажити сертифікат")</f>
        <v>Завантажити сертифікат</v>
      </c>
    </row>
    <row r="2932" spans="1:6" x14ac:dyDescent="0.3">
      <c r="A2932" s="2">
        <v>2931</v>
      </c>
      <c r="B2932" s="1" t="s">
        <v>6222</v>
      </c>
      <c r="C2932" s="1" t="s">
        <v>6170</v>
      </c>
      <c r="D2932" s="1" t="s">
        <v>6171</v>
      </c>
      <c r="E2932" s="1" t="s">
        <v>6223</v>
      </c>
      <c r="F2932" s="1" t="str">
        <f>HYPERLINK("https://talan.bank.gov.ua/get-user-certificate/J5325lWqlNOIUNVqPYpU","Завантажити сертифікат")</f>
        <v>Завантажити сертифікат</v>
      </c>
    </row>
    <row r="2933" spans="1:6" x14ac:dyDescent="0.3">
      <c r="A2933" s="2">
        <v>2932</v>
      </c>
      <c r="B2933" s="1" t="s">
        <v>6224</v>
      </c>
      <c r="C2933" s="1" t="s">
        <v>6170</v>
      </c>
      <c r="D2933" s="1" t="s">
        <v>6171</v>
      </c>
      <c r="E2933" s="1" t="s">
        <v>6225</v>
      </c>
      <c r="F2933" s="1" t="str">
        <f>HYPERLINK("https://talan.bank.gov.ua/get-user-certificate/J5325jF8fzFwuxKA0pzf","Завантажити сертифікат")</f>
        <v>Завантажити сертифікат</v>
      </c>
    </row>
    <row r="2934" spans="1:6" x14ac:dyDescent="0.3">
      <c r="A2934" s="2">
        <v>2933</v>
      </c>
      <c r="B2934" s="1" t="s">
        <v>6226</v>
      </c>
      <c r="C2934" s="1" t="s">
        <v>6170</v>
      </c>
      <c r="D2934" s="1" t="s">
        <v>6171</v>
      </c>
      <c r="E2934" s="1" t="s">
        <v>6227</v>
      </c>
      <c r="F2934" s="1" t="str">
        <f>HYPERLINK("https://talan.bank.gov.ua/get-user-certificate/J5325Y5humGrwak7AFLr","Завантажити сертифікат")</f>
        <v>Завантажити сертифікат</v>
      </c>
    </row>
    <row r="2935" spans="1:6" x14ac:dyDescent="0.3">
      <c r="A2935" s="2">
        <v>2934</v>
      </c>
      <c r="B2935" s="1" t="s">
        <v>6228</v>
      </c>
      <c r="C2935" s="1" t="s">
        <v>6229</v>
      </c>
      <c r="D2935" s="1" t="s">
        <v>6230</v>
      </c>
      <c r="E2935" s="1" t="s">
        <v>6231</v>
      </c>
      <c r="F2935" s="1" t="str">
        <f>HYPERLINK("https://talan.bank.gov.ua/get-user-certificate/J5325ZSHipLXClIPEGiR","Завантажити сертифікат")</f>
        <v>Завантажити сертифікат</v>
      </c>
    </row>
    <row r="2936" spans="1:6" x14ac:dyDescent="0.3">
      <c r="A2936" s="2">
        <v>2935</v>
      </c>
      <c r="B2936" s="1" t="s">
        <v>6232</v>
      </c>
      <c r="C2936" s="1" t="s">
        <v>6229</v>
      </c>
      <c r="D2936" s="1" t="s">
        <v>6230</v>
      </c>
      <c r="E2936" s="1" t="s">
        <v>6233</v>
      </c>
      <c r="F2936" s="1" t="str">
        <f>HYPERLINK("https://talan.bank.gov.ua/get-user-certificate/J5325fcak3J_A3uPi3rk","Завантажити сертифікат")</f>
        <v>Завантажити сертифікат</v>
      </c>
    </row>
    <row r="2937" spans="1:6" x14ac:dyDescent="0.3">
      <c r="A2937" s="2">
        <v>2936</v>
      </c>
      <c r="B2937" s="1" t="s">
        <v>6234</v>
      </c>
      <c r="C2937" s="1" t="s">
        <v>6229</v>
      </c>
      <c r="D2937" s="1" t="s">
        <v>6230</v>
      </c>
      <c r="E2937" s="1" t="s">
        <v>6235</v>
      </c>
      <c r="F2937" s="1" t="str">
        <f>HYPERLINK("https://talan.bank.gov.ua/get-user-certificate/J53255rnmp3vAbnUWN9-","Завантажити сертифікат")</f>
        <v>Завантажити сертифікат</v>
      </c>
    </row>
    <row r="2938" spans="1:6" x14ac:dyDescent="0.3">
      <c r="A2938" s="2">
        <v>2937</v>
      </c>
      <c r="B2938" s="1" t="s">
        <v>6236</v>
      </c>
      <c r="C2938" s="1" t="s">
        <v>6229</v>
      </c>
      <c r="D2938" s="1" t="s">
        <v>6230</v>
      </c>
      <c r="E2938" s="1" t="s">
        <v>6237</v>
      </c>
      <c r="F2938" s="1" t="str">
        <f>HYPERLINK("https://talan.bank.gov.ua/get-user-certificate/J5325FvguXbUR9gm1GuH","Завантажити сертифікат")</f>
        <v>Завантажити сертифікат</v>
      </c>
    </row>
    <row r="2939" spans="1:6" x14ac:dyDescent="0.3">
      <c r="A2939" s="2">
        <v>2938</v>
      </c>
      <c r="B2939" s="1" t="s">
        <v>6238</v>
      </c>
      <c r="C2939" s="1" t="s">
        <v>6229</v>
      </c>
      <c r="D2939" s="1" t="s">
        <v>6230</v>
      </c>
      <c r="E2939" s="1" t="s">
        <v>6239</v>
      </c>
      <c r="F2939" s="1" t="str">
        <f>HYPERLINK("https://talan.bank.gov.ua/get-user-certificate/J5325Ev4ljMX09H_Bmau","Завантажити сертифікат")</f>
        <v>Завантажити сертифікат</v>
      </c>
    </row>
    <row r="2940" spans="1:6" x14ac:dyDescent="0.3">
      <c r="A2940" s="2">
        <v>2939</v>
      </c>
      <c r="B2940" s="1" t="s">
        <v>6240</v>
      </c>
      <c r="C2940" s="1" t="s">
        <v>6241</v>
      </c>
      <c r="D2940" s="1" t="s">
        <v>6242</v>
      </c>
      <c r="E2940" s="1" t="s">
        <v>6243</v>
      </c>
      <c r="F2940" s="1" t="str">
        <f>HYPERLINK("https://talan.bank.gov.ua/get-user-certificate/J5325eP3eBO2qi-_w9G0","Завантажити сертифікат")</f>
        <v>Завантажити сертифікат</v>
      </c>
    </row>
    <row r="2941" spans="1:6" x14ac:dyDescent="0.3">
      <c r="A2941" s="2">
        <v>2940</v>
      </c>
      <c r="B2941" s="1" t="s">
        <v>6244</v>
      </c>
      <c r="C2941" s="1" t="s">
        <v>6241</v>
      </c>
      <c r="D2941" s="1" t="s">
        <v>6242</v>
      </c>
      <c r="E2941" s="1" t="s">
        <v>6245</v>
      </c>
      <c r="F2941" s="1" t="str">
        <f>HYPERLINK("https://talan.bank.gov.ua/get-user-certificate/J5325oPxMpwoz3HDzp2b","Завантажити сертифікат")</f>
        <v>Завантажити сертифікат</v>
      </c>
    </row>
    <row r="2942" spans="1:6" x14ac:dyDescent="0.3">
      <c r="A2942" s="2">
        <v>2941</v>
      </c>
      <c r="B2942" s="1" t="s">
        <v>6246</v>
      </c>
      <c r="C2942" s="1" t="s">
        <v>6241</v>
      </c>
      <c r="D2942" s="1" t="s">
        <v>6242</v>
      </c>
      <c r="E2942" s="1" t="s">
        <v>6247</v>
      </c>
      <c r="F2942" s="1" t="str">
        <f>HYPERLINK("https://talan.bank.gov.ua/get-user-certificate/J5325XEGdsmo8DuNCcsU","Завантажити сертифікат")</f>
        <v>Завантажити сертифікат</v>
      </c>
    </row>
    <row r="2943" spans="1:6" x14ac:dyDescent="0.3">
      <c r="A2943" s="2">
        <v>2942</v>
      </c>
      <c r="B2943" s="1" t="s">
        <v>6248</v>
      </c>
      <c r="C2943" s="1" t="s">
        <v>6241</v>
      </c>
      <c r="D2943" s="1" t="s">
        <v>6242</v>
      </c>
      <c r="E2943" s="1" t="s">
        <v>6249</v>
      </c>
      <c r="F2943" s="1" t="str">
        <f>HYPERLINK("https://talan.bank.gov.ua/get-user-certificate/J5325VHbTigl0ZvNu8sz","Завантажити сертифікат")</f>
        <v>Завантажити сертифікат</v>
      </c>
    </row>
    <row r="2944" spans="1:6" x14ac:dyDescent="0.3">
      <c r="A2944" s="2">
        <v>2943</v>
      </c>
      <c r="B2944" s="1" t="s">
        <v>6250</v>
      </c>
      <c r="C2944" s="1" t="s">
        <v>6241</v>
      </c>
      <c r="D2944" s="1" t="s">
        <v>6242</v>
      </c>
      <c r="E2944" s="1" t="s">
        <v>6251</v>
      </c>
      <c r="F2944" s="1" t="str">
        <f>HYPERLINK("https://talan.bank.gov.ua/get-user-certificate/J532544H8voNZyTFLGdw","Завантажити сертифікат")</f>
        <v>Завантажити сертифікат</v>
      </c>
    </row>
    <row r="2945" spans="1:6" x14ac:dyDescent="0.3">
      <c r="A2945" s="2">
        <v>2944</v>
      </c>
      <c r="B2945" s="1" t="s">
        <v>6252</v>
      </c>
      <c r="C2945" s="1" t="s">
        <v>6241</v>
      </c>
      <c r="D2945" s="1" t="s">
        <v>6242</v>
      </c>
      <c r="E2945" s="1" t="s">
        <v>6253</v>
      </c>
      <c r="F2945" s="1" t="str">
        <f>HYPERLINK("https://talan.bank.gov.ua/get-user-certificate/J53259KfoarEJq4RPQgA","Завантажити сертифікат")</f>
        <v>Завантажити сертифікат</v>
      </c>
    </row>
    <row r="2946" spans="1:6" x14ac:dyDescent="0.3">
      <c r="A2946" s="2">
        <v>2945</v>
      </c>
      <c r="B2946" s="1" t="s">
        <v>6254</v>
      </c>
      <c r="C2946" s="1" t="s">
        <v>6241</v>
      </c>
      <c r="D2946" s="1" t="s">
        <v>6242</v>
      </c>
      <c r="E2946" s="1" t="s">
        <v>6255</v>
      </c>
      <c r="F2946" s="1" t="str">
        <f>HYPERLINK("https://talan.bank.gov.ua/get-user-certificate/J53253oohu2mDLfbsNNl","Завантажити сертифікат")</f>
        <v>Завантажити сертифікат</v>
      </c>
    </row>
    <row r="2947" spans="1:6" x14ac:dyDescent="0.3">
      <c r="A2947" s="2">
        <v>2946</v>
      </c>
      <c r="B2947" s="1" t="s">
        <v>6256</v>
      </c>
      <c r="C2947" s="1" t="s">
        <v>6241</v>
      </c>
      <c r="D2947" s="1" t="s">
        <v>6242</v>
      </c>
      <c r="E2947" s="1" t="s">
        <v>6257</v>
      </c>
      <c r="F2947" s="1" t="str">
        <f>HYPERLINK("https://talan.bank.gov.ua/get-user-certificate/J5325TtJnQUClAjrGrG-","Завантажити сертифікат")</f>
        <v>Завантажити сертифікат</v>
      </c>
    </row>
    <row r="2948" spans="1:6" x14ac:dyDescent="0.3">
      <c r="A2948" s="2">
        <v>2947</v>
      </c>
      <c r="B2948" s="1" t="s">
        <v>6258</v>
      </c>
      <c r="C2948" s="1" t="s">
        <v>6241</v>
      </c>
      <c r="D2948" s="1" t="s">
        <v>6242</v>
      </c>
      <c r="E2948" s="1" t="s">
        <v>6259</v>
      </c>
      <c r="F2948" s="1" t="str">
        <f>HYPERLINK("https://talan.bank.gov.ua/get-user-certificate/J5325zQBZnqlKc2pDshV","Завантажити сертифікат")</f>
        <v>Завантажити сертифікат</v>
      </c>
    </row>
    <row r="2949" spans="1:6" x14ac:dyDescent="0.3">
      <c r="A2949" s="2">
        <v>2948</v>
      </c>
      <c r="B2949" s="1" t="s">
        <v>6260</v>
      </c>
      <c r="C2949" s="1" t="s">
        <v>6241</v>
      </c>
      <c r="D2949" s="1" t="s">
        <v>6242</v>
      </c>
      <c r="E2949" s="1" t="s">
        <v>6261</v>
      </c>
      <c r="F2949" s="1" t="str">
        <f>HYPERLINK("https://talan.bank.gov.ua/get-user-certificate/J53256q8dHA-VcdxdBBN","Завантажити сертифікат")</f>
        <v>Завантажити сертифікат</v>
      </c>
    </row>
    <row r="2950" spans="1:6" x14ac:dyDescent="0.3">
      <c r="A2950" s="2">
        <v>2949</v>
      </c>
      <c r="B2950" s="1" t="s">
        <v>6262</v>
      </c>
      <c r="C2950" s="1" t="s">
        <v>6241</v>
      </c>
      <c r="D2950" s="1" t="s">
        <v>6242</v>
      </c>
      <c r="E2950" s="1" t="s">
        <v>6263</v>
      </c>
      <c r="F2950" s="1" t="str">
        <f>HYPERLINK("https://talan.bank.gov.ua/get-user-certificate/J5325RligvduAMk_h440","Завантажити сертифікат")</f>
        <v>Завантажити сертифікат</v>
      </c>
    </row>
    <row r="2951" spans="1:6" x14ac:dyDescent="0.3">
      <c r="A2951" s="2">
        <v>2950</v>
      </c>
      <c r="B2951" s="1" t="s">
        <v>6264</v>
      </c>
      <c r="C2951" s="1" t="s">
        <v>6241</v>
      </c>
      <c r="D2951" s="1" t="s">
        <v>6242</v>
      </c>
      <c r="E2951" s="1" t="s">
        <v>6265</v>
      </c>
      <c r="F2951" s="1" t="str">
        <f>HYPERLINK("https://talan.bank.gov.ua/get-user-certificate/J5325Is53LmaXRmf8i5R","Завантажити сертифікат")</f>
        <v>Завантажити сертифікат</v>
      </c>
    </row>
    <row r="2952" spans="1:6" x14ac:dyDescent="0.3">
      <c r="A2952" s="2">
        <v>2951</v>
      </c>
      <c r="B2952" s="1" t="s">
        <v>6266</v>
      </c>
      <c r="C2952" s="1" t="s">
        <v>6241</v>
      </c>
      <c r="D2952" s="1" t="s">
        <v>6242</v>
      </c>
      <c r="E2952" s="1" t="s">
        <v>6267</v>
      </c>
      <c r="F2952" s="1" t="str">
        <f>HYPERLINK("https://talan.bank.gov.ua/get-user-certificate/J5325_hB_b-3lFb7-4T4","Завантажити сертифікат")</f>
        <v>Завантажити сертифікат</v>
      </c>
    </row>
    <row r="2953" spans="1:6" x14ac:dyDescent="0.3">
      <c r="A2953" s="2">
        <v>2952</v>
      </c>
      <c r="B2953" s="1" t="s">
        <v>6268</v>
      </c>
      <c r="C2953" s="1" t="s">
        <v>6241</v>
      </c>
      <c r="D2953" s="1" t="s">
        <v>6242</v>
      </c>
      <c r="E2953" s="1" t="s">
        <v>6269</v>
      </c>
      <c r="F2953" s="1" t="str">
        <f>HYPERLINK("https://talan.bank.gov.ua/get-user-certificate/J5325ygJD7ZjPWIcbOtX","Завантажити сертифікат")</f>
        <v>Завантажити сертифікат</v>
      </c>
    </row>
    <row r="2954" spans="1:6" x14ac:dyDescent="0.3">
      <c r="A2954" s="2">
        <v>2953</v>
      </c>
      <c r="B2954" s="1" t="s">
        <v>6270</v>
      </c>
      <c r="C2954" s="1" t="s">
        <v>6241</v>
      </c>
      <c r="D2954" s="1" t="s">
        <v>6242</v>
      </c>
      <c r="E2954" s="1" t="s">
        <v>6271</v>
      </c>
      <c r="F2954" s="1" t="str">
        <f>HYPERLINK("https://talan.bank.gov.ua/get-user-certificate/J5325lHrvDSHJmImL8JT","Завантажити сертифікат")</f>
        <v>Завантажити сертифікат</v>
      </c>
    </row>
    <row r="2955" spans="1:6" x14ac:dyDescent="0.3">
      <c r="A2955" s="2">
        <v>2954</v>
      </c>
      <c r="B2955" s="1" t="s">
        <v>6272</v>
      </c>
      <c r="C2955" s="1" t="s">
        <v>6241</v>
      </c>
      <c r="D2955" s="1" t="s">
        <v>6242</v>
      </c>
      <c r="E2955" s="1" t="s">
        <v>6273</v>
      </c>
      <c r="F2955" s="1" t="str">
        <f>HYPERLINK("https://talan.bank.gov.ua/get-user-certificate/J5325SAOnspUMLpVvKOY","Завантажити сертифікат")</f>
        <v>Завантажити сертифікат</v>
      </c>
    </row>
    <row r="2956" spans="1:6" x14ac:dyDescent="0.3">
      <c r="A2956" s="2">
        <v>2955</v>
      </c>
      <c r="B2956" s="1" t="s">
        <v>6274</v>
      </c>
      <c r="C2956" s="1" t="s">
        <v>6241</v>
      </c>
      <c r="D2956" s="1" t="s">
        <v>6242</v>
      </c>
      <c r="E2956" s="1" t="s">
        <v>6275</v>
      </c>
      <c r="F2956" s="1" t="str">
        <f>HYPERLINK("https://talan.bank.gov.ua/get-user-certificate/J5325U-zm4KVU5pi2ryk","Завантажити сертифікат")</f>
        <v>Завантажити сертифікат</v>
      </c>
    </row>
    <row r="2957" spans="1:6" x14ac:dyDescent="0.3">
      <c r="A2957" s="2">
        <v>2956</v>
      </c>
      <c r="B2957" s="1" t="s">
        <v>6276</v>
      </c>
      <c r="C2957" s="1" t="s">
        <v>6241</v>
      </c>
      <c r="D2957" s="1" t="s">
        <v>6242</v>
      </c>
      <c r="E2957" s="1" t="s">
        <v>6277</v>
      </c>
      <c r="F2957" s="1" t="str">
        <f>HYPERLINK("https://talan.bank.gov.ua/get-user-certificate/J5325mw2viZHWdJskK_S","Завантажити сертифікат")</f>
        <v>Завантажити сертифікат</v>
      </c>
    </row>
    <row r="2958" spans="1:6" x14ac:dyDescent="0.3">
      <c r="A2958" s="2">
        <v>2957</v>
      </c>
      <c r="B2958" s="1" t="s">
        <v>6278</v>
      </c>
      <c r="C2958" s="1" t="s">
        <v>6241</v>
      </c>
      <c r="D2958" s="1" t="s">
        <v>6242</v>
      </c>
      <c r="E2958" s="1" t="s">
        <v>6279</v>
      </c>
      <c r="F2958" s="1" t="str">
        <f>HYPERLINK("https://talan.bank.gov.ua/get-user-certificate/J53250z0cGHIbuwWLH2W","Завантажити сертифікат")</f>
        <v>Завантажити сертифікат</v>
      </c>
    </row>
    <row r="2959" spans="1:6" x14ac:dyDescent="0.3">
      <c r="A2959" s="2">
        <v>2958</v>
      </c>
      <c r="B2959" s="1" t="s">
        <v>6280</v>
      </c>
      <c r="C2959" s="1" t="s">
        <v>6241</v>
      </c>
      <c r="D2959" s="1" t="s">
        <v>6242</v>
      </c>
      <c r="E2959" s="1" t="s">
        <v>6281</v>
      </c>
      <c r="F2959" s="1" t="str">
        <f>HYPERLINK("https://talan.bank.gov.ua/get-user-certificate/J5325fKc3QpRungQ8Ve9","Завантажити сертифікат")</f>
        <v>Завантажити сертифікат</v>
      </c>
    </row>
    <row r="2960" spans="1:6" x14ac:dyDescent="0.3">
      <c r="A2960" s="2">
        <v>2959</v>
      </c>
      <c r="B2960" s="1" t="s">
        <v>6282</v>
      </c>
      <c r="C2960" s="1" t="s">
        <v>6241</v>
      </c>
      <c r="D2960" s="1" t="s">
        <v>6242</v>
      </c>
      <c r="E2960" s="1" t="s">
        <v>6283</v>
      </c>
      <c r="F2960" s="1" t="str">
        <f>HYPERLINK("https://talan.bank.gov.ua/get-user-certificate/J5325EyKwd3zaXl5NZOa","Завантажити сертифікат")</f>
        <v>Завантажити сертифікат</v>
      </c>
    </row>
    <row r="2961" spans="1:6" x14ac:dyDescent="0.3">
      <c r="A2961" s="2">
        <v>2960</v>
      </c>
      <c r="B2961" s="1" t="s">
        <v>6284</v>
      </c>
      <c r="C2961" s="1" t="s">
        <v>6241</v>
      </c>
      <c r="D2961" s="1" t="s">
        <v>6242</v>
      </c>
      <c r="E2961" s="1" t="s">
        <v>6285</v>
      </c>
      <c r="F2961" s="1" t="str">
        <f>HYPERLINK("https://talan.bank.gov.ua/get-user-certificate/J5325hPDyN8WqQIhoFNL","Завантажити сертифікат")</f>
        <v>Завантажити сертифікат</v>
      </c>
    </row>
    <row r="2962" spans="1:6" x14ac:dyDescent="0.3">
      <c r="A2962" s="2">
        <v>2961</v>
      </c>
      <c r="B2962" s="1" t="s">
        <v>6286</v>
      </c>
      <c r="C2962" s="1" t="s">
        <v>6241</v>
      </c>
      <c r="D2962" s="1" t="s">
        <v>6242</v>
      </c>
      <c r="E2962" s="1" t="s">
        <v>6287</v>
      </c>
      <c r="F2962" s="1" t="str">
        <f>HYPERLINK("https://talan.bank.gov.ua/get-user-certificate/J5325hcdLPLQmTcc5Vcn","Завантажити сертифікат")</f>
        <v>Завантажити сертифікат</v>
      </c>
    </row>
    <row r="2963" spans="1:6" x14ac:dyDescent="0.3">
      <c r="A2963" s="2">
        <v>2962</v>
      </c>
      <c r="B2963" s="1" t="s">
        <v>6288</v>
      </c>
      <c r="C2963" s="1" t="s">
        <v>6241</v>
      </c>
      <c r="D2963" s="1" t="s">
        <v>6242</v>
      </c>
      <c r="E2963" s="1" t="s">
        <v>6289</v>
      </c>
      <c r="F2963" s="1" t="str">
        <f>HYPERLINK("https://talan.bank.gov.ua/get-user-certificate/J5325w3ru3XlB8cfxVcs","Завантажити сертифікат")</f>
        <v>Завантажити сертифікат</v>
      </c>
    </row>
    <row r="2964" spans="1:6" x14ac:dyDescent="0.3">
      <c r="A2964" s="2">
        <v>2963</v>
      </c>
      <c r="B2964" s="1" t="s">
        <v>6290</v>
      </c>
      <c r="C2964" s="1" t="s">
        <v>6241</v>
      </c>
      <c r="D2964" s="1" t="s">
        <v>6242</v>
      </c>
      <c r="E2964" s="1" t="s">
        <v>6291</v>
      </c>
      <c r="F2964" s="1" t="str">
        <f>HYPERLINK("https://talan.bank.gov.ua/get-user-certificate/J5325pIyshFh2fBbhFz2","Завантажити сертифікат")</f>
        <v>Завантажити сертифікат</v>
      </c>
    </row>
    <row r="2965" spans="1:6" ht="28.8" x14ac:dyDescent="0.3">
      <c r="A2965" s="2">
        <v>2964</v>
      </c>
      <c r="B2965" s="1" t="s">
        <v>6292</v>
      </c>
      <c r="C2965" s="1" t="s">
        <v>6293</v>
      </c>
      <c r="D2965" s="1" t="s">
        <v>6294</v>
      </c>
      <c r="E2965" s="1" t="s">
        <v>6295</v>
      </c>
      <c r="F2965" s="1" t="str">
        <f>HYPERLINK("https://talan.bank.gov.ua/get-user-certificate/J5325JlUbMNV0CeDj8vp","Завантажити сертифікат")</f>
        <v>Завантажити сертифікат</v>
      </c>
    </row>
    <row r="2966" spans="1:6" ht="28.8" x14ac:dyDescent="0.3">
      <c r="A2966" s="2">
        <v>2965</v>
      </c>
      <c r="B2966" s="1" t="s">
        <v>6296</v>
      </c>
      <c r="C2966" s="1" t="s">
        <v>6293</v>
      </c>
      <c r="D2966" s="1" t="s">
        <v>6294</v>
      </c>
      <c r="E2966" s="1" t="s">
        <v>6297</v>
      </c>
      <c r="F2966" s="1" t="str">
        <f>HYPERLINK("https://talan.bank.gov.ua/get-user-certificate/J5325CdO-4KdWf8NFbTt","Завантажити сертифікат")</f>
        <v>Завантажити сертифікат</v>
      </c>
    </row>
    <row r="2967" spans="1:6" ht="28.8" x14ac:dyDescent="0.3">
      <c r="A2967" s="2">
        <v>2966</v>
      </c>
      <c r="B2967" s="1" t="s">
        <v>6298</v>
      </c>
      <c r="C2967" s="1" t="s">
        <v>6293</v>
      </c>
      <c r="D2967" s="1" t="s">
        <v>6294</v>
      </c>
      <c r="E2967" s="1" t="s">
        <v>6299</v>
      </c>
      <c r="F2967" s="1" t="str">
        <f>HYPERLINK("https://talan.bank.gov.ua/get-user-certificate/J5325e8Gzg5W9QOt6lIm","Завантажити сертифікат")</f>
        <v>Завантажити сертифікат</v>
      </c>
    </row>
    <row r="2968" spans="1:6" ht="28.8" x14ac:dyDescent="0.3">
      <c r="A2968" s="2">
        <v>2967</v>
      </c>
      <c r="B2968" s="1" t="s">
        <v>6300</v>
      </c>
      <c r="C2968" s="1" t="s">
        <v>6293</v>
      </c>
      <c r="D2968" s="1" t="s">
        <v>6294</v>
      </c>
      <c r="E2968" s="1" t="s">
        <v>6301</v>
      </c>
      <c r="F2968" s="1" t="str">
        <f>HYPERLINK("https://talan.bank.gov.ua/get-user-certificate/J5325TUa8T1LsEqL7IAN","Завантажити сертифікат")</f>
        <v>Завантажити сертифікат</v>
      </c>
    </row>
    <row r="2969" spans="1:6" ht="28.8" x14ac:dyDescent="0.3">
      <c r="A2969" s="2">
        <v>2968</v>
      </c>
      <c r="B2969" s="1" t="s">
        <v>6302</v>
      </c>
      <c r="C2969" s="1" t="s">
        <v>6293</v>
      </c>
      <c r="D2969" s="1" t="s">
        <v>6294</v>
      </c>
      <c r="E2969" s="1" t="s">
        <v>6303</v>
      </c>
      <c r="F2969" s="1" t="str">
        <f>HYPERLINK("https://talan.bank.gov.ua/get-user-certificate/J5325NqTJIeCo7rDdam7","Завантажити сертифікат")</f>
        <v>Завантажити сертифікат</v>
      </c>
    </row>
    <row r="2970" spans="1:6" ht="28.8" x14ac:dyDescent="0.3">
      <c r="A2970" s="2">
        <v>2969</v>
      </c>
      <c r="B2970" s="1" t="s">
        <v>6304</v>
      </c>
      <c r="C2970" s="1" t="s">
        <v>6293</v>
      </c>
      <c r="D2970" s="1" t="s">
        <v>6294</v>
      </c>
      <c r="E2970" s="1" t="s">
        <v>6305</v>
      </c>
      <c r="F2970" s="1" t="str">
        <f>HYPERLINK("https://talan.bank.gov.ua/get-user-certificate/J5325sOFNYouVnk9eTHL","Завантажити сертифікат")</f>
        <v>Завантажити сертифікат</v>
      </c>
    </row>
    <row r="2971" spans="1:6" ht="28.8" x14ac:dyDescent="0.3">
      <c r="A2971" s="2">
        <v>2970</v>
      </c>
      <c r="B2971" s="1" t="s">
        <v>6306</v>
      </c>
      <c r="C2971" s="1" t="s">
        <v>6293</v>
      </c>
      <c r="D2971" s="1" t="s">
        <v>6294</v>
      </c>
      <c r="E2971" s="1" t="s">
        <v>6307</v>
      </c>
      <c r="F2971" s="1" t="str">
        <f>HYPERLINK("https://talan.bank.gov.ua/get-user-certificate/J53257kMKBQ7E_ol-iEn","Завантажити сертифікат")</f>
        <v>Завантажити сертифікат</v>
      </c>
    </row>
    <row r="2972" spans="1:6" ht="28.8" x14ac:dyDescent="0.3">
      <c r="A2972" s="2">
        <v>2971</v>
      </c>
      <c r="B2972" s="1" t="s">
        <v>6308</v>
      </c>
      <c r="C2972" s="1" t="s">
        <v>6293</v>
      </c>
      <c r="D2972" s="1" t="s">
        <v>6294</v>
      </c>
      <c r="E2972" s="1" t="s">
        <v>6309</v>
      </c>
      <c r="F2972" s="1" t="str">
        <f>HYPERLINK("https://talan.bank.gov.ua/get-user-certificate/J5325y1ocuufW2ulK7RG","Завантажити сертифікат")</f>
        <v>Завантажити сертифікат</v>
      </c>
    </row>
    <row r="2973" spans="1:6" ht="28.8" x14ac:dyDescent="0.3">
      <c r="A2973" s="2">
        <v>2972</v>
      </c>
      <c r="B2973" s="1" t="s">
        <v>6310</v>
      </c>
      <c r="C2973" s="1" t="s">
        <v>6293</v>
      </c>
      <c r="D2973" s="1" t="s">
        <v>6294</v>
      </c>
      <c r="E2973" s="1" t="s">
        <v>6311</v>
      </c>
      <c r="F2973" s="1" t="str">
        <f>HYPERLINK("https://talan.bank.gov.ua/get-user-certificate/J5325KnT7dR0WbXuv9el","Завантажити сертифікат")</f>
        <v>Завантажити сертифікат</v>
      </c>
    </row>
    <row r="2974" spans="1:6" ht="28.8" x14ac:dyDescent="0.3">
      <c r="A2974" s="2">
        <v>2973</v>
      </c>
      <c r="B2974" s="1" t="s">
        <v>6312</v>
      </c>
      <c r="C2974" s="1" t="s">
        <v>6293</v>
      </c>
      <c r="D2974" s="1" t="s">
        <v>6294</v>
      </c>
      <c r="E2974" s="1" t="s">
        <v>6313</v>
      </c>
      <c r="F2974" s="1" t="str">
        <f>HYPERLINK("https://talan.bank.gov.ua/get-user-certificate/J53252wOaibi_wIZax3t","Завантажити сертифікат")</f>
        <v>Завантажити сертифікат</v>
      </c>
    </row>
    <row r="2975" spans="1:6" ht="28.8" x14ac:dyDescent="0.3">
      <c r="A2975" s="2">
        <v>2974</v>
      </c>
      <c r="B2975" s="1" t="s">
        <v>6314</v>
      </c>
      <c r="C2975" s="1" t="s">
        <v>6293</v>
      </c>
      <c r="D2975" s="1" t="s">
        <v>6294</v>
      </c>
      <c r="E2975" s="1" t="s">
        <v>6315</v>
      </c>
      <c r="F2975" s="1" t="str">
        <f>HYPERLINK("https://talan.bank.gov.ua/get-user-certificate/J5325_E0sD7t2OrE3CAH","Завантажити сертифікат")</f>
        <v>Завантажити сертифікат</v>
      </c>
    </row>
    <row r="2976" spans="1:6" ht="28.8" x14ac:dyDescent="0.3">
      <c r="A2976" s="2">
        <v>2975</v>
      </c>
      <c r="B2976" s="1" t="s">
        <v>6316</v>
      </c>
      <c r="C2976" s="1" t="s">
        <v>6293</v>
      </c>
      <c r="D2976" s="1" t="s">
        <v>6294</v>
      </c>
      <c r="E2976" s="1" t="s">
        <v>6317</v>
      </c>
      <c r="F2976" s="1" t="str">
        <f>HYPERLINK("https://talan.bank.gov.ua/get-user-certificate/J5325aa6dA5WnfZn9vUi","Завантажити сертифікат")</f>
        <v>Завантажити сертифікат</v>
      </c>
    </row>
    <row r="2977" spans="1:6" ht="28.8" x14ac:dyDescent="0.3">
      <c r="A2977" s="2">
        <v>2976</v>
      </c>
      <c r="B2977" s="1" t="s">
        <v>6318</v>
      </c>
      <c r="C2977" s="1" t="s">
        <v>6293</v>
      </c>
      <c r="D2977" s="1" t="s">
        <v>6294</v>
      </c>
      <c r="E2977" s="1" t="s">
        <v>6319</v>
      </c>
      <c r="F2977" s="1" t="str">
        <f>HYPERLINK("https://talan.bank.gov.ua/get-user-certificate/J5325ClJtF2Abwo4HWfe","Завантажити сертифікат")</f>
        <v>Завантажити сертифікат</v>
      </c>
    </row>
    <row r="2978" spans="1:6" ht="28.8" x14ac:dyDescent="0.3">
      <c r="A2978" s="2">
        <v>2977</v>
      </c>
      <c r="B2978" s="1" t="s">
        <v>6320</v>
      </c>
      <c r="C2978" s="1" t="s">
        <v>6293</v>
      </c>
      <c r="D2978" s="1" t="s">
        <v>6294</v>
      </c>
      <c r="E2978" s="1" t="s">
        <v>6321</v>
      </c>
      <c r="F2978" s="1" t="str">
        <f>HYPERLINK("https://talan.bank.gov.ua/get-user-certificate/J5325Wgzv4qyRjeOVW81","Завантажити сертифікат")</f>
        <v>Завантажити сертифікат</v>
      </c>
    </row>
    <row r="2979" spans="1:6" ht="28.8" x14ac:dyDescent="0.3">
      <c r="A2979" s="2">
        <v>2978</v>
      </c>
      <c r="B2979" s="1" t="s">
        <v>6322</v>
      </c>
      <c r="C2979" s="1" t="s">
        <v>6293</v>
      </c>
      <c r="D2979" s="1" t="s">
        <v>6294</v>
      </c>
      <c r="E2979" s="1" t="s">
        <v>6323</v>
      </c>
      <c r="F2979" s="1" t="str">
        <f>HYPERLINK("https://talan.bank.gov.ua/get-user-certificate/J5325KvcCCw4aKJIkyds","Завантажити сертифікат")</f>
        <v>Завантажити сертифікат</v>
      </c>
    </row>
    <row r="2980" spans="1:6" ht="28.8" x14ac:dyDescent="0.3">
      <c r="A2980" s="2">
        <v>2979</v>
      </c>
      <c r="B2980" s="1" t="s">
        <v>6324</v>
      </c>
      <c r="C2980" s="1" t="s">
        <v>6293</v>
      </c>
      <c r="D2980" s="1" t="s">
        <v>6294</v>
      </c>
      <c r="E2980" s="1" t="s">
        <v>6325</v>
      </c>
      <c r="F2980" s="1" t="str">
        <f>HYPERLINK("https://talan.bank.gov.ua/get-user-certificate/J5325mrKWHKNHHj8Ul44","Завантажити сертифікат")</f>
        <v>Завантажити сертифікат</v>
      </c>
    </row>
    <row r="2981" spans="1:6" ht="28.8" x14ac:dyDescent="0.3">
      <c r="A2981" s="2">
        <v>2980</v>
      </c>
      <c r="B2981" s="1" t="s">
        <v>6326</v>
      </c>
      <c r="C2981" s="1" t="s">
        <v>6293</v>
      </c>
      <c r="D2981" s="1" t="s">
        <v>6294</v>
      </c>
      <c r="E2981" s="1" t="s">
        <v>6327</v>
      </c>
      <c r="F2981" s="1" t="str">
        <f>HYPERLINK("https://talan.bank.gov.ua/get-user-certificate/J5325oGeFBmcSQM9btAM","Завантажити сертифікат")</f>
        <v>Завантажити сертифікат</v>
      </c>
    </row>
    <row r="2982" spans="1:6" ht="28.8" x14ac:dyDescent="0.3">
      <c r="A2982" s="2">
        <v>2981</v>
      </c>
      <c r="B2982" s="1" t="s">
        <v>6328</v>
      </c>
      <c r="C2982" s="1" t="s">
        <v>6293</v>
      </c>
      <c r="D2982" s="1" t="s">
        <v>6294</v>
      </c>
      <c r="E2982" s="1" t="s">
        <v>6329</v>
      </c>
      <c r="F2982" s="1" t="str">
        <f>HYPERLINK("https://talan.bank.gov.ua/get-user-certificate/J5325GMdjuHRxi8i1Dq9","Завантажити сертифікат")</f>
        <v>Завантажити сертифікат</v>
      </c>
    </row>
    <row r="2983" spans="1:6" ht="28.8" x14ac:dyDescent="0.3">
      <c r="A2983" s="2">
        <v>2982</v>
      </c>
      <c r="B2983" s="1" t="s">
        <v>6330</v>
      </c>
      <c r="C2983" s="1" t="s">
        <v>6293</v>
      </c>
      <c r="D2983" s="1" t="s">
        <v>6294</v>
      </c>
      <c r="E2983" s="1" t="s">
        <v>6331</v>
      </c>
      <c r="F2983" s="1" t="str">
        <f>HYPERLINK("https://talan.bank.gov.ua/get-user-certificate/J5325o3IeDDCOt3uxwdt","Завантажити сертифікат")</f>
        <v>Завантажити сертифікат</v>
      </c>
    </row>
    <row r="2984" spans="1:6" ht="28.8" x14ac:dyDescent="0.3">
      <c r="A2984" s="2">
        <v>2983</v>
      </c>
      <c r="B2984" s="1" t="s">
        <v>6332</v>
      </c>
      <c r="C2984" s="1" t="s">
        <v>6293</v>
      </c>
      <c r="D2984" s="1" t="s">
        <v>6294</v>
      </c>
      <c r="E2984" s="1" t="s">
        <v>6333</v>
      </c>
      <c r="F2984" s="1" t="str">
        <f>HYPERLINK("https://talan.bank.gov.ua/get-user-certificate/J5325qGwuz9LV6njcSVN","Завантажити сертифікат")</f>
        <v>Завантажити сертифікат</v>
      </c>
    </row>
    <row r="2985" spans="1:6" ht="28.8" x14ac:dyDescent="0.3">
      <c r="A2985" s="2">
        <v>2984</v>
      </c>
      <c r="B2985" s="1" t="s">
        <v>6334</v>
      </c>
      <c r="C2985" s="1" t="s">
        <v>6293</v>
      </c>
      <c r="D2985" s="1" t="s">
        <v>6294</v>
      </c>
      <c r="E2985" s="1" t="s">
        <v>6335</v>
      </c>
      <c r="F2985" s="1" t="str">
        <f>HYPERLINK("https://talan.bank.gov.ua/get-user-certificate/J5325xYD-nOcdcJg3ZnD","Завантажити сертифікат")</f>
        <v>Завантажити сертифікат</v>
      </c>
    </row>
    <row r="2986" spans="1:6" x14ac:dyDescent="0.3">
      <c r="A2986" s="2">
        <v>2985</v>
      </c>
      <c r="B2986" s="1" t="s">
        <v>6336</v>
      </c>
      <c r="C2986" s="1" t="s">
        <v>6337</v>
      </c>
      <c r="D2986" s="1" t="s">
        <v>6338</v>
      </c>
      <c r="E2986" s="1" t="s">
        <v>6339</v>
      </c>
      <c r="F2986" s="1" t="str">
        <f>HYPERLINK("https://talan.bank.gov.ua/get-user-certificate/J53256IRaxMP0u5RiSED","Завантажити сертифікат")</f>
        <v>Завантажити сертифікат</v>
      </c>
    </row>
    <row r="2987" spans="1:6" x14ac:dyDescent="0.3">
      <c r="A2987" s="2">
        <v>2986</v>
      </c>
      <c r="B2987" s="1" t="s">
        <v>6340</v>
      </c>
      <c r="C2987" s="1" t="s">
        <v>6337</v>
      </c>
      <c r="D2987" s="1" t="s">
        <v>6338</v>
      </c>
      <c r="E2987" s="1" t="s">
        <v>6341</v>
      </c>
      <c r="F2987" s="1" t="str">
        <f>HYPERLINK("https://talan.bank.gov.ua/get-user-certificate/J53259NC3jKkAW4gz6wV","Завантажити сертифікат")</f>
        <v>Завантажити сертифікат</v>
      </c>
    </row>
    <row r="2988" spans="1:6" x14ac:dyDescent="0.3">
      <c r="A2988" s="2">
        <v>2987</v>
      </c>
      <c r="B2988" s="1" t="s">
        <v>6342</v>
      </c>
      <c r="C2988" s="1" t="s">
        <v>6337</v>
      </c>
      <c r="D2988" s="1" t="s">
        <v>6338</v>
      </c>
      <c r="E2988" s="1" t="s">
        <v>6343</v>
      </c>
      <c r="F2988" s="1" t="str">
        <f>HYPERLINK("https://talan.bank.gov.ua/get-user-certificate/J5325vL7X70KD65hbj2O","Завантажити сертифікат")</f>
        <v>Завантажити сертифікат</v>
      </c>
    </row>
    <row r="2989" spans="1:6" x14ac:dyDescent="0.3">
      <c r="A2989" s="2">
        <v>2988</v>
      </c>
      <c r="B2989" s="1" t="s">
        <v>6344</v>
      </c>
      <c r="C2989" s="1" t="s">
        <v>6337</v>
      </c>
      <c r="D2989" s="1" t="s">
        <v>6338</v>
      </c>
      <c r="E2989" s="1" t="s">
        <v>6345</v>
      </c>
      <c r="F2989" s="1" t="str">
        <f>HYPERLINK("https://talan.bank.gov.ua/get-user-certificate/J5325-w1MTuHGCYEq0P8","Завантажити сертифікат")</f>
        <v>Завантажити сертифікат</v>
      </c>
    </row>
    <row r="2990" spans="1:6" x14ac:dyDescent="0.3">
      <c r="A2990" s="2">
        <v>2989</v>
      </c>
      <c r="B2990" s="1" t="s">
        <v>6346</v>
      </c>
      <c r="C2990" s="1" t="s">
        <v>6337</v>
      </c>
      <c r="D2990" s="1" t="s">
        <v>6338</v>
      </c>
      <c r="E2990" s="1" t="s">
        <v>6347</v>
      </c>
      <c r="F2990" s="1" t="str">
        <f>HYPERLINK("https://talan.bank.gov.ua/get-user-certificate/J5325D406kzjn7NFbb3k","Завантажити сертифікат")</f>
        <v>Завантажити сертифікат</v>
      </c>
    </row>
    <row r="2991" spans="1:6" x14ac:dyDescent="0.3">
      <c r="A2991" s="2">
        <v>2990</v>
      </c>
      <c r="B2991" s="1" t="s">
        <v>6348</v>
      </c>
      <c r="C2991" s="1" t="s">
        <v>6337</v>
      </c>
      <c r="D2991" s="1" t="s">
        <v>6338</v>
      </c>
      <c r="E2991" s="1" t="s">
        <v>6349</v>
      </c>
      <c r="F2991" s="1" t="str">
        <f>HYPERLINK("https://talan.bank.gov.ua/get-user-certificate/J5325UE_EPIl1wCqiMes","Завантажити сертифікат")</f>
        <v>Завантажити сертифікат</v>
      </c>
    </row>
    <row r="2992" spans="1:6" ht="28.8" x14ac:dyDescent="0.3">
      <c r="A2992" s="2">
        <v>2991</v>
      </c>
      <c r="B2992" s="1" t="s">
        <v>6350</v>
      </c>
      <c r="C2992" s="1" t="s">
        <v>6351</v>
      </c>
      <c r="D2992" s="1" t="s">
        <v>6352</v>
      </c>
      <c r="E2992" s="1" t="s">
        <v>6353</v>
      </c>
      <c r="F2992" s="1" t="str">
        <f>HYPERLINK("https://talan.bank.gov.ua/get-user-certificate/J5325AUJVdvCCjTHv98m","Завантажити сертифікат")</f>
        <v>Завантажити сертифікат</v>
      </c>
    </row>
    <row r="2993" spans="1:6" ht="28.8" x14ac:dyDescent="0.3">
      <c r="A2993" s="2">
        <v>2992</v>
      </c>
      <c r="B2993" s="1" t="s">
        <v>6354</v>
      </c>
      <c r="C2993" s="1" t="s">
        <v>6355</v>
      </c>
      <c r="D2993" s="1" t="s">
        <v>6356</v>
      </c>
      <c r="E2993" s="1" t="s">
        <v>6357</v>
      </c>
      <c r="F2993" s="1" t="str">
        <f>HYPERLINK("https://talan.bank.gov.ua/get-user-certificate/J5325daCma7749ccSvYt","Завантажити сертифікат")</f>
        <v>Завантажити сертифікат</v>
      </c>
    </row>
    <row r="2994" spans="1:6" ht="28.8" x14ac:dyDescent="0.3">
      <c r="A2994" s="2">
        <v>2993</v>
      </c>
      <c r="B2994" s="1" t="s">
        <v>6358</v>
      </c>
      <c r="C2994" s="1" t="s">
        <v>6355</v>
      </c>
      <c r="D2994" s="1" t="s">
        <v>6356</v>
      </c>
      <c r="E2994" s="1" t="s">
        <v>6359</v>
      </c>
      <c r="F2994" s="1" t="str">
        <f>HYPERLINK("https://talan.bank.gov.ua/get-user-certificate/J5325S4Ssy2BNy_mR1VM","Завантажити сертифікат")</f>
        <v>Завантажити сертифікат</v>
      </c>
    </row>
    <row r="2995" spans="1:6" ht="28.8" x14ac:dyDescent="0.3">
      <c r="A2995" s="2">
        <v>2994</v>
      </c>
      <c r="B2995" s="1" t="s">
        <v>6360</v>
      </c>
      <c r="C2995" s="1" t="s">
        <v>6355</v>
      </c>
      <c r="D2995" s="1" t="s">
        <v>6356</v>
      </c>
      <c r="E2995" s="1" t="s">
        <v>6361</v>
      </c>
      <c r="F2995" s="1" t="str">
        <f>HYPERLINK("https://talan.bank.gov.ua/get-user-certificate/J5325zqllL-Ta9HKVLNU","Завантажити сертифікат")</f>
        <v>Завантажити сертифікат</v>
      </c>
    </row>
    <row r="2996" spans="1:6" ht="28.8" x14ac:dyDescent="0.3">
      <c r="A2996" s="2">
        <v>2995</v>
      </c>
      <c r="B2996" s="1" t="s">
        <v>6362</v>
      </c>
      <c r="C2996" s="1" t="s">
        <v>6355</v>
      </c>
      <c r="D2996" s="1" t="s">
        <v>6356</v>
      </c>
      <c r="E2996" s="1" t="s">
        <v>6363</v>
      </c>
      <c r="F2996" s="1" t="str">
        <f>HYPERLINK("https://talan.bank.gov.ua/get-user-certificate/J5325Dx45tK6tF4BZT5n","Завантажити сертифікат")</f>
        <v>Завантажити сертифікат</v>
      </c>
    </row>
    <row r="2997" spans="1:6" ht="28.8" x14ac:dyDescent="0.3">
      <c r="A2997" s="2">
        <v>2996</v>
      </c>
      <c r="B2997" s="1" t="s">
        <v>6364</v>
      </c>
      <c r="C2997" s="1" t="s">
        <v>6365</v>
      </c>
      <c r="D2997" s="1" t="s">
        <v>6366</v>
      </c>
      <c r="E2997" s="1" t="s">
        <v>6367</v>
      </c>
      <c r="F2997" s="1" t="str">
        <f>HYPERLINK("https://talan.bank.gov.ua/get-user-certificate/J5325RpwLxJEPRPqYTNB","Завантажити сертифікат")</f>
        <v>Завантажити сертифікат</v>
      </c>
    </row>
    <row r="2998" spans="1:6" ht="28.8" x14ac:dyDescent="0.3">
      <c r="A2998" s="2">
        <v>2997</v>
      </c>
      <c r="B2998" s="1" t="s">
        <v>6368</v>
      </c>
      <c r="C2998" s="1" t="s">
        <v>6365</v>
      </c>
      <c r="D2998" s="1" t="s">
        <v>6366</v>
      </c>
      <c r="E2998" s="1" t="s">
        <v>6369</v>
      </c>
      <c r="F2998" s="1" t="str">
        <f>HYPERLINK("https://talan.bank.gov.ua/get-user-certificate/J5325hfRK9SgnI1xhRsN","Завантажити сертифікат")</f>
        <v>Завантажити сертифікат</v>
      </c>
    </row>
    <row r="2999" spans="1:6" ht="28.8" x14ac:dyDescent="0.3">
      <c r="A2999" s="2">
        <v>2998</v>
      </c>
      <c r="B2999" s="1" t="s">
        <v>6370</v>
      </c>
      <c r="C2999" s="1" t="s">
        <v>6365</v>
      </c>
      <c r="D2999" s="1" t="s">
        <v>6366</v>
      </c>
      <c r="E2999" s="1" t="s">
        <v>6371</v>
      </c>
      <c r="F2999" s="1" t="str">
        <f>HYPERLINK("https://talan.bank.gov.ua/get-user-certificate/J5325x5GRHKqp7W65Drs","Завантажити сертифікат")</f>
        <v>Завантажити сертифікат</v>
      </c>
    </row>
    <row r="3000" spans="1:6" ht="28.8" x14ac:dyDescent="0.3">
      <c r="A3000" s="2">
        <v>2999</v>
      </c>
      <c r="B3000" s="1" t="s">
        <v>6372</v>
      </c>
      <c r="C3000" s="1" t="s">
        <v>6365</v>
      </c>
      <c r="D3000" s="1" t="s">
        <v>6366</v>
      </c>
      <c r="E3000" s="1" t="s">
        <v>6373</v>
      </c>
      <c r="F3000" s="1" t="str">
        <f>HYPERLINK("https://talan.bank.gov.ua/get-user-certificate/J5325okadPU2EoKshXAr","Завантажити сертифікат")</f>
        <v>Завантажити сертифікат</v>
      </c>
    </row>
    <row r="3001" spans="1:6" ht="28.8" x14ac:dyDescent="0.3">
      <c r="A3001" s="2">
        <v>3000</v>
      </c>
      <c r="B3001" s="1" t="s">
        <v>6374</v>
      </c>
      <c r="C3001" s="1" t="s">
        <v>6365</v>
      </c>
      <c r="D3001" s="1" t="s">
        <v>6366</v>
      </c>
      <c r="E3001" s="1" t="s">
        <v>6375</v>
      </c>
      <c r="F3001" s="1" t="str">
        <f>HYPERLINK("https://talan.bank.gov.ua/get-user-certificate/J5325cmbHSIx0-_LB3TO","Завантажити сертифікат")</f>
        <v>Завантажити сертифікат</v>
      </c>
    </row>
    <row r="3002" spans="1:6" ht="28.8" x14ac:dyDescent="0.3">
      <c r="A3002" s="2">
        <v>3001</v>
      </c>
      <c r="B3002" s="1" t="s">
        <v>6376</v>
      </c>
      <c r="C3002" s="1" t="s">
        <v>6365</v>
      </c>
      <c r="D3002" s="1" t="s">
        <v>6366</v>
      </c>
      <c r="E3002" s="1" t="s">
        <v>6377</v>
      </c>
      <c r="F3002" s="1" t="str">
        <f>HYPERLINK("https://talan.bank.gov.ua/get-user-certificate/J5325FVwkjVOSEcU9lUB","Завантажити сертифікат")</f>
        <v>Завантажити сертифікат</v>
      </c>
    </row>
    <row r="3003" spans="1:6" ht="28.8" x14ac:dyDescent="0.3">
      <c r="A3003" s="2">
        <v>3002</v>
      </c>
      <c r="B3003" s="1" t="s">
        <v>6378</v>
      </c>
      <c r="C3003" s="1" t="s">
        <v>6365</v>
      </c>
      <c r="D3003" s="1" t="s">
        <v>6366</v>
      </c>
      <c r="E3003" s="1" t="s">
        <v>6379</v>
      </c>
      <c r="F3003" s="1" t="str">
        <f>HYPERLINK("https://talan.bank.gov.ua/get-user-certificate/J53257v0_XyspeO4RB9a","Завантажити сертифікат")</f>
        <v>Завантажити сертифікат</v>
      </c>
    </row>
    <row r="3004" spans="1:6" ht="28.8" x14ac:dyDescent="0.3">
      <c r="A3004" s="2">
        <v>3003</v>
      </c>
      <c r="B3004" s="1" t="s">
        <v>6380</v>
      </c>
      <c r="C3004" s="1" t="s">
        <v>6365</v>
      </c>
      <c r="D3004" s="1" t="s">
        <v>6366</v>
      </c>
      <c r="E3004" s="1" t="s">
        <v>6381</v>
      </c>
      <c r="F3004" s="1" t="str">
        <f>HYPERLINK("https://talan.bank.gov.ua/get-user-certificate/J5325z0ApZCziau3P2VP","Завантажити сертифікат")</f>
        <v>Завантажити сертифікат</v>
      </c>
    </row>
    <row r="3005" spans="1:6" ht="28.8" x14ac:dyDescent="0.3">
      <c r="A3005" s="2">
        <v>3004</v>
      </c>
      <c r="B3005" s="1" t="s">
        <v>6382</v>
      </c>
      <c r="C3005" s="1" t="s">
        <v>6365</v>
      </c>
      <c r="D3005" s="1" t="s">
        <v>6366</v>
      </c>
      <c r="E3005" s="1" t="s">
        <v>6383</v>
      </c>
      <c r="F3005" s="1" t="str">
        <f>HYPERLINK("https://talan.bank.gov.ua/get-user-certificate/J5325_bB5WaabcfZ5SFP","Завантажити сертифікат")</f>
        <v>Завантажити сертифікат</v>
      </c>
    </row>
    <row r="3006" spans="1:6" ht="28.8" x14ac:dyDescent="0.3">
      <c r="A3006" s="2">
        <v>3005</v>
      </c>
      <c r="B3006" s="1" t="s">
        <v>6384</v>
      </c>
      <c r="C3006" s="1" t="s">
        <v>6365</v>
      </c>
      <c r="D3006" s="1" t="s">
        <v>6366</v>
      </c>
      <c r="E3006" s="1" t="s">
        <v>6385</v>
      </c>
      <c r="F3006" s="1" t="str">
        <f>HYPERLINK("https://talan.bank.gov.ua/get-user-certificate/J5325Dsb_VOqeGK0M-Hn","Завантажити сертифікат")</f>
        <v>Завантажити сертифікат</v>
      </c>
    </row>
    <row r="3007" spans="1:6" ht="28.8" x14ac:dyDescent="0.3">
      <c r="A3007" s="2">
        <v>3006</v>
      </c>
      <c r="B3007" s="1" t="s">
        <v>6386</v>
      </c>
      <c r="C3007" s="1" t="s">
        <v>6365</v>
      </c>
      <c r="D3007" s="1" t="s">
        <v>6366</v>
      </c>
      <c r="E3007" s="1" t="s">
        <v>6387</v>
      </c>
      <c r="F3007" s="1" t="str">
        <f>HYPERLINK("https://talan.bank.gov.ua/get-user-certificate/J5325z40_fPKosiBqgUc","Завантажити сертифікат")</f>
        <v>Завантажити сертифікат</v>
      </c>
    </row>
    <row r="3008" spans="1:6" ht="28.8" x14ac:dyDescent="0.3">
      <c r="A3008" s="2">
        <v>3007</v>
      </c>
      <c r="B3008" s="1" t="s">
        <v>6388</v>
      </c>
      <c r="C3008" s="1" t="s">
        <v>6365</v>
      </c>
      <c r="D3008" s="1" t="s">
        <v>6366</v>
      </c>
      <c r="E3008" s="1" t="s">
        <v>6389</v>
      </c>
      <c r="F3008" s="1" t="str">
        <f>HYPERLINK("https://talan.bank.gov.ua/get-user-certificate/J5325rKU1CPbP9xY8jS8","Завантажити сертифікат")</f>
        <v>Завантажити сертифікат</v>
      </c>
    </row>
    <row r="3009" spans="1:6" ht="28.8" x14ac:dyDescent="0.3">
      <c r="A3009" s="2">
        <v>3008</v>
      </c>
      <c r="B3009" s="1" t="s">
        <v>6390</v>
      </c>
      <c r="C3009" s="1" t="s">
        <v>6365</v>
      </c>
      <c r="D3009" s="1" t="s">
        <v>6366</v>
      </c>
      <c r="E3009" s="1" t="s">
        <v>6391</v>
      </c>
      <c r="F3009" s="1" t="str">
        <f>HYPERLINK("https://talan.bank.gov.ua/get-user-certificate/J5325x1S9oiY9ABagncW","Завантажити сертифікат")</f>
        <v>Завантажити сертифікат</v>
      </c>
    </row>
    <row r="3010" spans="1:6" ht="28.8" x14ac:dyDescent="0.3">
      <c r="A3010" s="2">
        <v>3009</v>
      </c>
      <c r="B3010" s="1" t="s">
        <v>6392</v>
      </c>
      <c r="C3010" s="1" t="s">
        <v>6365</v>
      </c>
      <c r="D3010" s="1" t="s">
        <v>6366</v>
      </c>
      <c r="E3010" s="1" t="s">
        <v>6393</v>
      </c>
      <c r="F3010" s="1" t="str">
        <f>HYPERLINK("https://talan.bank.gov.ua/get-user-certificate/J5325SHg3RK2FBLajddg","Завантажити сертифікат")</f>
        <v>Завантажити сертифікат</v>
      </c>
    </row>
    <row r="3011" spans="1:6" ht="28.8" x14ac:dyDescent="0.3">
      <c r="A3011" s="2">
        <v>3010</v>
      </c>
      <c r="B3011" s="1" t="s">
        <v>6394</v>
      </c>
      <c r="C3011" s="1" t="s">
        <v>6395</v>
      </c>
      <c r="D3011" s="1" t="s">
        <v>6396</v>
      </c>
      <c r="E3011" s="1" t="s">
        <v>6397</v>
      </c>
      <c r="F3011" s="1" t="str">
        <f>HYPERLINK("https://talan.bank.gov.ua/get-user-certificate/J5325DUbZE0N_ZvJ0zrs","Завантажити сертифікат")</f>
        <v>Завантажити сертифікат</v>
      </c>
    </row>
    <row r="3012" spans="1:6" ht="28.8" x14ac:dyDescent="0.3">
      <c r="A3012" s="2">
        <v>3011</v>
      </c>
      <c r="B3012" s="1" t="s">
        <v>6398</v>
      </c>
      <c r="C3012" s="1" t="s">
        <v>6395</v>
      </c>
      <c r="D3012" s="1" t="s">
        <v>6396</v>
      </c>
      <c r="E3012" s="1" t="s">
        <v>6399</v>
      </c>
      <c r="F3012" s="1" t="str">
        <f>HYPERLINK("https://talan.bank.gov.ua/get-user-certificate/J5325W8vrTjvVEp8Rlmr","Завантажити сертифікат")</f>
        <v>Завантажити сертифікат</v>
      </c>
    </row>
    <row r="3013" spans="1:6" ht="28.8" x14ac:dyDescent="0.3">
      <c r="A3013" s="2">
        <v>3012</v>
      </c>
      <c r="B3013" s="1" t="s">
        <v>6400</v>
      </c>
      <c r="C3013" s="1" t="s">
        <v>6395</v>
      </c>
      <c r="D3013" s="1" t="s">
        <v>6396</v>
      </c>
      <c r="E3013" s="1" t="s">
        <v>6401</v>
      </c>
      <c r="F3013" s="1" t="str">
        <f>HYPERLINK("https://talan.bank.gov.ua/get-user-certificate/J53251wlbfUR7WJAinHh","Завантажити сертифікат")</f>
        <v>Завантажити сертифікат</v>
      </c>
    </row>
    <row r="3014" spans="1:6" ht="28.8" x14ac:dyDescent="0.3">
      <c r="A3014" s="2">
        <v>3013</v>
      </c>
      <c r="B3014" s="1" t="s">
        <v>6402</v>
      </c>
      <c r="C3014" s="1" t="s">
        <v>6395</v>
      </c>
      <c r="D3014" s="1" t="s">
        <v>6396</v>
      </c>
      <c r="E3014" s="1" t="s">
        <v>6403</v>
      </c>
      <c r="F3014" s="1" t="str">
        <f>HYPERLINK("https://talan.bank.gov.ua/get-user-certificate/J53251tPfz5fwaMNPNX5","Завантажити сертифікат")</f>
        <v>Завантажити сертифікат</v>
      </c>
    </row>
    <row r="3015" spans="1:6" ht="28.8" x14ac:dyDescent="0.3">
      <c r="A3015" s="2">
        <v>3014</v>
      </c>
      <c r="B3015" s="1" t="s">
        <v>6404</v>
      </c>
      <c r="C3015" s="1" t="s">
        <v>6395</v>
      </c>
      <c r="D3015" s="1" t="s">
        <v>6396</v>
      </c>
      <c r="E3015" s="1" t="s">
        <v>6405</v>
      </c>
      <c r="F3015" s="1" t="str">
        <f>HYPERLINK("https://talan.bank.gov.ua/get-user-certificate/J5325iu20i2W2UabhyjI","Завантажити сертифікат")</f>
        <v>Завантажити сертифікат</v>
      </c>
    </row>
    <row r="3016" spans="1:6" ht="28.8" x14ac:dyDescent="0.3">
      <c r="A3016" s="2">
        <v>3015</v>
      </c>
      <c r="B3016" s="1" t="s">
        <v>6406</v>
      </c>
      <c r="C3016" s="1" t="s">
        <v>6395</v>
      </c>
      <c r="D3016" s="1" t="s">
        <v>6396</v>
      </c>
      <c r="E3016" s="1" t="s">
        <v>6407</v>
      </c>
      <c r="F3016" s="1" t="str">
        <f>HYPERLINK("https://talan.bank.gov.ua/get-user-certificate/J53251fD0yiv5FYXZ7KF","Завантажити сертифікат")</f>
        <v>Завантажити сертифікат</v>
      </c>
    </row>
    <row r="3017" spans="1:6" ht="28.8" x14ac:dyDescent="0.3">
      <c r="A3017" s="2">
        <v>3016</v>
      </c>
      <c r="B3017" s="1" t="s">
        <v>6408</v>
      </c>
      <c r="C3017" s="1" t="s">
        <v>6395</v>
      </c>
      <c r="D3017" s="1" t="s">
        <v>6396</v>
      </c>
      <c r="E3017" s="1" t="s">
        <v>6409</v>
      </c>
      <c r="F3017" s="1" t="str">
        <f>HYPERLINK("https://talan.bank.gov.ua/get-user-certificate/J5325_CrJMYggKW9U4Cq","Завантажити сертифікат")</f>
        <v>Завантажити сертифікат</v>
      </c>
    </row>
    <row r="3018" spans="1:6" ht="28.8" x14ac:dyDescent="0.3">
      <c r="A3018" s="2">
        <v>3017</v>
      </c>
      <c r="B3018" s="1" t="s">
        <v>6410</v>
      </c>
      <c r="C3018" s="1" t="s">
        <v>6395</v>
      </c>
      <c r="D3018" s="1" t="s">
        <v>6396</v>
      </c>
      <c r="E3018" s="1" t="s">
        <v>6411</v>
      </c>
      <c r="F3018" s="1" t="str">
        <f>HYPERLINK("https://talan.bank.gov.ua/get-user-certificate/J5325Gn_xktFHoE-O8sY","Завантажити сертифікат")</f>
        <v>Завантажити сертифікат</v>
      </c>
    </row>
    <row r="3019" spans="1:6" ht="28.8" x14ac:dyDescent="0.3">
      <c r="A3019" s="2">
        <v>3018</v>
      </c>
      <c r="B3019" s="1" t="s">
        <v>6412</v>
      </c>
      <c r="C3019" s="1" t="s">
        <v>6395</v>
      </c>
      <c r="D3019" s="1" t="s">
        <v>6396</v>
      </c>
      <c r="E3019" s="1" t="s">
        <v>6413</v>
      </c>
      <c r="F3019" s="1" t="str">
        <f>HYPERLINK("https://talan.bank.gov.ua/get-user-certificate/J5325ZiTqGlXf2zQAHT5","Завантажити сертифікат")</f>
        <v>Завантажити сертифікат</v>
      </c>
    </row>
    <row r="3020" spans="1:6" ht="28.8" x14ac:dyDescent="0.3">
      <c r="A3020" s="2">
        <v>3019</v>
      </c>
      <c r="B3020" s="1" t="s">
        <v>6414</v>
      </c>
      <c r="C3020" s="1" t="s">
        <v>6395</v>
      </c>
      <c r="D3020" s="1" t="s">
        <v>6396</v>
      </c>
      <c r="E3020" s="1" t="s">
        <v>6415</v>
      </c>
      <c r="F3020" s="1" t="str">
        <f>HYPERLINK("https://talan.bank.gov.ua/get-user-certificate/J5325vlyHCqPMTNIf4bN","Завантажити сертифікат")</f>
        <v>Завантажити сертифікат</v>
      </c>
    </row>
    <row r="3021" spans="1:6" ht="28.8" x14ac:dyDescent="0.3">
      <c r="A3021" s="2">
        <v>3020</v>
      </c>
      <c r="B3021" s="1" t="s">
        <v>6416</v>
      </c>
      <c r="C3021" s="1" t="s">
        <v>6395</v>
      </c>
      <c r="D3021" s="1" t="s">
        <v>6396</v>
      </c>
      <c r="E3021" s="1" t="s">
        <v>6417</v>
      </c>
      <c r="F3021" s="1" t="str">
        <f>HYPERLINK("https://talan.bank.gov.ua/get-user-certificate/J5325Gj5U2_AiC3T0yDU","Завантажити сертифікат")</f>
        <v>Завантажити сертифікат</v>
      </c>
    </row>
    <row r="3022" spans="1:6" ht="28.8" x14ac:dyDescent="0.3">
      <c r="A3022" s="2">
        <v>3021</v>
      </c>
      <c r="B3022" s="1" t="s">
        <v>6418</v>
      </c>
      <c r="C3022" s="1" t="s">
        <v>6395</v>
      </c>
      <c r="D3022" s="1" t="s">
        <v>6396</v>
      </c>
      <c r="E3022" s="1" t="s">
        <v>6419</v>
      </c>
      <c r="F3022" s="1" t="str">
        <f>HYPERLINK("https://talan.bank.gov.ua/get-user-certificate/J5325Thi5PT324ixpv_J","Завантажити сертифікат")</f>
        <v>Завантажити сертифікат</v>
      </c>
    </row>
    <row r="3023" spans="1:6" x14ac:dyDescent="0.3">
      <c r="A3023" s="2">
        <v>3022</v>
      </c>
      <c r="B3023" s="1" t="s">
        <v>6420</v>
      </c>
      <c r="C3023" s="1" t="s">
        <v>6421</v>
      </c>
      <c r="D3023" s="1" t="s">
        <v>6422</v>
      </c>
      <c r="E3023" s="1" t="s">
        <v>6423</v>
      </c>
      <c r="F3023" s="1" t="str">
        <f>HYPERLINK("https://talan.bank.gov.ua/get-user-certificate/J5325UF5NSLmbqh4GTZv","Завантажити сертифікат")</f>
        <v>Завантажити сертифікат</v>
      </c>
    </row>
    <row r="3024" spans="1:6" x14ac:dyDescent="0.3">
      <c r="A3024" s="2">
        <v>3023</v>
      </c>
      <c r="B3024" s="1" t="s">
        <v>6424</v>
      </c>
      <c r="C3024" s="1" t="s">
        <v>6421</v>
      </c>
      <c r="D3024" s="1" t="s">
        <v>6422</v>
      </c>
      <c r="E3024" s="1" t="s">
        <v>6425</v>
      </c>
      <c r="F3024" s="1" t="str">
        <f>HYPERLINK("https://talan.bank.gov.ua/get-user-certificate/J5325cFS0YCRiEjSEiBB","Завантажити сертифікат")</f>
        <v>Завантажити сертифікат</v>
      </c>
    </row>
    <row r="3025" spans="1:6" x14ac:dyDescent="0.3">
      <c r="A3025" s="2">
        <v>3024</v>
      </c>
      <c r="B3025" s="1" t="s">
        <v>6426</v>
      </c>
      <c r="C3025" s="1" t="s">
        <v>6427</v>
      </c>
      <c r="D3025" s="1" t="s">
        <v>6428</v>
      </c>
      <c r="E3025" s="1" t="s">
        <v>6429</v>
      </c>
      <c r="F3025" s="1" t="str">
        <f>HYPERLINK("https://talan.bank.gov.ua/get-user-certificate/J5325P0TQP2ew6dcceqp","Завантажити сертифікат")</f>
        <v>Завантажити сертифікат</v>
      </c>
    </row>
    <row r="3026" spans="1:6" x14ac:dyDescent="0.3">
      <c r="A3026" s="2">
        <v>3025</v>
      </c>
      <c r="B3026" s="1" t="s">
        <v>6430</v>
      </c>
      <c r="C3026" s="1" t="s">
        <v>6427</v>
      </c>
      <c r="D3026" s="1" t="s">
        <v>6428</v>
      </c>
      <c r="E3026" s="1" t="s">
        <v>6431</v>
      </c>
      <c r="F3026" s="1" t="str">
        <f>HYPERLINK("https://talan.bank.gov.ua/get-user-certificate/J5325Nk18W7CZrX7117K","Завантажити сертифікат")</f>
        <v>Завантажити сертифікат</v>
      </c>
    </row>
    <row r="3027" spans="1:6" x14ac:dyDescent="0.3">
      <c r="A3027" s="2">
        <v>3026</v>
      </c>
      <c r="B3027" s="1" t="s">
        <v>6432</v>
      </c>
      <c r="C3027" s="1" t="s">
        <v>6427</v>
      </c>
      <c r="D3027" s="1" t="s">
        <v>6428</v>
      </c>
      <c r="E3027" s="1" t="s">
        <v>6433</v>
      </c>
      <c r="F3027" s="1" t="str">
        <f>HYPERLINK("https://talan.bank.gov.ua/get-user-certificate/J5325Km19cwuAyi1vxZG","Завантажити сертифікат")</f>
        <v>Завантажити сертифікат</v>
      </c>
    </row>
    <row r="3028" spans="1:6" x14ac:dyDescent="0.3">
      <c r="A3028" s="2">
        <v>3027</v>
      </c>
      <c r="B3028" s="1" t="s">
        <v>6434</v>
      </c>
      <c r="C3028" s="1" t="s">
        <v>6427</v>
      </c>
      <c r="D3028" s="1" t="s">
        <v>6428</v>
      </c>
      <c r="E3028" s="1" t="s">
        <v>6435</v>
      </c>
      <c r="F3028" s="1" t="str">
        <f>HYPERLINK("https://talan.bank.gov.ua/get-user-certificate/J53259Pu_FW93fER5wcj","Завантажити сертифікат")</f>
        <v>Завантажити сертифікат</v>
      </c>
    </row>
    <row r="3029" spans="1:6" x14ac:dyDescent="0.3">
      <c r="A3029" s="2">
        <v>3028</v>
      </c>
      <c r="B3029" s="1" t="s">
        <v>6436</v>
      </c>
      <c r="C3029" s="1" t="s">
        <v>6427</v>
      </c>
      <c r="D3029" s="1" t="s">
        <v>6428</v>
      </c>
      <c r="E3029" s="1" t="s">
        <v>6437</v>
      </c>
      <c r="F3029" s="1" t="str">
        <f>HYPERLINK("https://talan.bank.gov.ua/get-user-certificate/J5325wgT6RBIBJCZQNVt","Завантажити сертифікат")</f>
        <v>Завантажити сертифікат</v>
      </c>
    </row>
    <row r="3030" spans="1:6" x14ac:dyDescent="0.3">
      <c r="A3030" s="2">
        <v>3029</v>
      </c>
      <c r="B3030" s="1" t="s">
        <v>6438</v>
      </c>
      <c r="C3030" s="1" t="s">
        <v>6427</v>
      </c>
      <c r="D3030" s="1" t="s">
        <v>6428</v>
      </c>
      <c r="E3030" s="1" t="s">
        <v>6439</v>
      </c>
      <c r="F3030" s="1" t="str">
        <f>HYPERLINK("https://talan.bank.gov.ua/get-user-certificate/J53254iuddCLFritweOl","Завантажити сертифікат")</f>
        <v>Завантажити сертифікат</v>
      </c>
    </row>
    <row r="3031" spans="1:6" ht="43.2" x14ac:dyDescent="0.3">
      <c r="A3031" s="2">
        <v>3030</v>
      </c>
      <c r="B3031" s="1" t="s">
        <v>6440</v>
      </c>
      <c r="C3031" s="1" t="s">
        <v>6441</v>
      </c>
      <c r="D3031" s="1" t="s">
        <v>6442</v>
      </c>
      <c r="E3031" s="1" t="s">
        <v>6443</v>
      </c>
      <c r="F3031" s="1" t="str">
        <f>HYPERLINK("https://talan.bank.gov.ua/get-user-certificate/J5325cwpyL8k2X9lR-PH","Завантажити сертифікат")</f>
        <v>Завантажити сертифікат</v>
      </c>
    </row>
    <row r="3032" spans="1:6" ht="43.2" x14ac:dyDescent="0.3">
      <c r="A3032" s="2">
        <v>3031</v>
      </c>
      <c r="B3032" s="1" t="s">
        <v>6444</v>
      </c>
      <c r="C3032" s="1" t="s">
        <v>6441</v>
      </c>
      <c r="D3032" s="1" t="s">
        <v>6442</v>
      </c>
      <c r="E3032" s="1" t="s">
        <v>6445</v>
      </c>
      <c r="F3032" s="1" t="str">
        <f>HYPERLINK("https://talan.bank.gov.ua/get-user-certificate/J5325htL_hbXVzpVUPo-","Завантажити сертифікат")</f>
        <v>Завантажити сертифікат</v>
      </c>
    </row>
    <row r="3033" spans="1:6" ht="43.2" x14ac:dyDescent="0.3">
      <c r="A3033" s="2">
        <v>3032</v>
      </c>
      <c r="B3033" s="1" t="s">
        <v>6446</v>
      </c>
      <c r="C3033" s="1" t="s">
        <v>6441</v>
      </c>
      <c r="D3033" s="1" t="s">
        <v>6442</v>
      </c>
      <c r="E3033" s="1" t="s">
        <v>6447</v>
      </c>
      <c r="F3033" s="1" t="str">
        <f>HYPERLINK("https://talan.bank.gov.ua/get-user-certificate/J5325tQyXzQmB-Idt07U","Завантажити сертифікат")</f>
        <v>Завантажити сертифікат</v>
      </c>
    </row>
    <row r="3034" spans="1:6" ht="43.2" x14ac:dyDescent="0.3">
      <c r="A3034" s="2">
        <v>3033</v>
      </c>
      <c r="B3034" s="1" t="s">
        <v>6448</v>
      </c>
      <c r="C3034" s="1" t="s">
        <v>6441</v>
      </c>
      <c r="D3034" s="1" t="s">
        <v>6442</v>
      </c>
      <c r="E3034" s="1" t="s">
        <v>6449</v>
      </c>
      <c r="F3034" s="1" t="str">
        <f>HYPERLINK("https://talan.bank.gov.ua/get-user-certificate/J5325-l_cMm2evlYvXdI","Завантажити сертифікат")</f>
        <v>Завантажити сертифікат</v>
      </c>
    </row>
    <row r="3035" spans="1:6" ht="43.2" x14ac:dyDescent="0.3">
      <c r="A3035" s="2">
        <v>3034</v>
      </c>
      <c r="B3035" s="1" t="s">
        <v>6450</v>
      </c>
      <c r="C3035" s="1" t="s">
        <v>6441</v>
      </c>
      <c r="D3035" s="1" t="s">
        <v>6442</v>
      </c>
      <c r="E3035" s="1" t="s">
        <v>6451</v>
      </c>
      <c r="F3035" s="1" t="str">
        <f>HYPERLINK("https://talan.bank.gov.ua/get-user-certificate/J5325VuNnd1ZilpU2nnf","Завантажити сертифікат")</f>
        <v>Завантажити сертифікат</v>
      </c>
    </row>
    <row r="3036" spans="1:6" ht="43.2" x14ac:dyDescent="0.3">
      <c r="A3036" s="2">
        <v>3035</v>
      </c>
      <c r="B3036" s="1" t="s">
        <v>6452</v>
      </c>
      <c r="C3036" s="1" t="s">
        <v>6441</v>
      </c>
      <c r="D3036" s="1" t="s">
        <v>6442</v>
      </c>
      <c r="E3036" s="1" t="s">
        <v>6453</v>
      </c>
      <c r="F3036" s="1" t="str">
        <f>HYPERLINK("https://talan.bank.gov.ua/get-user-certificate/J5325zY-U6VkyvEg6Zd3","Завантажити сертифікат")</f>
        <v>Завантажити сертифікат</v>
      </c>
    </row>
    <row r="3037" spans="1:6" ht="43.2" x14ac:dyDescent="0.3">
      <c r="A3037" s="2">
        <v>3036</v>
      </c>
      <c r="B3037" s="1" t="s">
        <v>6454</v>
      </c>
      <c r="C3037" s="1" t="s">
        <v>6441</v>
      </c>
      <c r="D3037" s="1" t="s">
        <v>6442</v>
      </c>
      <c r="E3037" s="1" t="s">
        <v>6455</v>
      </c>
      <c r="F3037" s="1" t="str">
        <f>HYPERLINK("https://talan.bank.gov.ua/get-user-certificate/J5325vYyXurpRPQ86DX-","Завантажити сертифікат")</f>
        <v>Завантажити сертифікат</v>
      </c>
    </row>
    <row r="3038" spans="1:6" ht="43.2" x14ac:dyDescent="0.3">
      <c r="A3038" s="2">
        <v>3037</v>
      </c>
      <c r="B3038" s="1" t="s">
        <v>6456</v>
      </c>
      <c r="C3038" s="1" t="s">
        <v>6441</v>
      </c>
      <c r="D3038" s="1" t="s">
        <v>6442</v>
      </c>
      <c r="E3038" s="1" t="s">
        <v>6457</v>
      </c>
      <c r="F3038" s="1" t="str">
        <f>HYPERLINK("https://talan.bank.gov.ua/get-user-certificate/J5325CCgvBykCjvhUfVz","Завантажити сертифікат")</f>
        <v>Завантажити сертифікат</v>
      </c>
    </row>
    <row r="3039" spans="1:6" ht="43.2" x14ac:dyDescent="0.3">
      <c r="A3039" s="2">
        <v>3038</v>
      </c>
      <c r="B3039" s="1" t="s">
        <v>6458</v>
      </c>
      <c r="C3039" s="1" t="s">
        <v>6441</v>
      </c>
      <c r="D3039" s="1" t="s">
        <v>6442</v>
      </c>
      <c r="E3039" s="1" t="s">
        <v>6459</v>
      </c>
      <c r="F3039" s="1" t="str">
        <f>HYPERLINK("https://talan.bank.gov.ua/get-user-certificate/J5325Ao17GiyWIQYCPds","Завантажити сертифікат")</f>
        <v>Завантажити сертифікат</v>
      </c>
    </row>
    <row r="3040" spans="1:6" ht="43.2" x14ac:dyDescent="0.3">
      <c r="A3040" s="2">
        <v>3039</v>
      </c>
      <c r="B3040" s="1" t="s">
        <v>6460</v>
      </c>
      <c r="C3040" s="1" t="s">
        <v>6441</v>
      </c>
      <c r="D3040" s="1" t="s">
        <v>6442</v>
      </c>
      <c r="E3040" s="1" t="s">
        <v>6461</v>
      </c>
      <c r="F3040" s="1" t="str">
        <f>HYPERLINK("https://talan.bank.gov.ua/get-user-certificate/J5325h8jYQJogg9sbTOo","Завантажити сертифікат")</f>
        <v>Завантажити сертифікат</v>
      </c>
    </row>
    <row r="3041" spans="1:6" ht="43.2" x14ac:dyDescent="0.3">
      <c r="A3041" s="2">
        <v>3040</v>
      </c>
      <c r="B3041" s="1" t="s">
        <v>6462</v>
      </c>
      <c r="C3041" s="1" t="s">
        <v>6441</v>
      </c>
      <c r="D3041" s="1" t="s">
        <v>6442</v>
      </c>
      <c r="E3041" s="1" t="s">
        <v>6463</v>
      </c>
      <c r="F3041" s="1" t="str">
        <f>HYPERLINK("https://talan.bank.gov.ua/get-user-certificate/J5325c7ZKqodEvS5TXvg","Завантажити сертифікат")</f>
        <v>Завантажити сертифікат</v>
      </c>
    </row>
    <row r="3042" spans="1:6" ht="43.2" x14ac:dyDescent="0.3">
      <c r="A3042" s="2">
        <v>3041</v>
      </c>
      <c r="B3042" s="1" t="s">
        <v>6464</v>
      </c>
      <c r="C3042" s="1" t="s">
        <v>6441</v>
      </c>
      <c r="D3042" s="1" t="s">
        <v>6442</v>
      </c>
      <c r="E3042" s="1" t="s">
        <v>6465</v>
      </c>
      <c r="F3042" s="1" t="str">
        <f>HYPERLINK("https://talan.bank.gov.ua/get-user-certificate/J5325VvnAN-oF4vlPAsL","Завантажити сертифікат")</f>
        <v>Завантажити сертифікат</v>
      </c>
    </row>
    <row r="3043" spans="1:6" ht="43.2" x14ac:dyDescent="0.3">
      <c r="A3043" s="2">
        <v>3042</v>
      </c>
      <c r="B3043" s="1" t="s">
        <v>6466</v>
      </c>
      <c r="C3043" s="1" t="s">
        <v>6441</v>
      </c>
      <c r="D3043" s="1" t="s">
        <v>6442</v>
      </c>
      <c r="E3043" s="1" t="s">
        <v>6467</v>
      </c>
      <c r="F3043" s="1" t="str">
        <f>HYPERLINK("https://talan.bank.gov.ua/get-user-certificate/J5325jiHDmps_5-w0L8j","Завантажити сертифікат")</f>
        <v>Завантажити сертифікат</v>
      </c>
    </row>
    <row r="3044" spans="1:6" ht="43.2" x14ac:dyDescent="0.3">
      <c r="A3044" s="2">
        <v>3043</v>
      </c>
      <c r="B3044" s="1" t="s">
        <v>6468</v>
      </c>
      <c r="C3044" s="1" t="s">
        <v>6441</v>
      </c>
      <c r="D3044" s="1" t="s">
        <v>6442</v>
      </c>
      <c r="E3044" s="1" t="s">
        <v>6469</v>
      </c>
      <c r="F3044" s="1" t="str">
        <f>HYPERLINK("https://talan.bank.gov.ua/get-user-certificate/J5325DvT1DN6m-Y-ZihU","Завантажити сертифікат")</f>
        <v>Завантажити сертифікат</v>
      </c>
    </row>
    <row r="3045" spans="1:6" x14ac:dyDescent="0.3">
      <c r="A3045" s="2">
        <v>3044</v>
      </c>
      <c r="B3045" s="1" t="s">
        <v>6470</v>
      </c>
      <c r="C3045" s="1" t="s">
        <v>6471</v>
      </c>
      <c r="D3045" s="1" t="s">
        <v>6472</v>
      </c>
      <c r="E3045" s="1" t="s">
        <v>6473</v>
      </c>
      <c r="F3045" s="1" t="str">
        <f>HYPERLINK("https://talan.bank.gov.ua/get-user-certificate/J5325d5wN1r8lw7MtDvL","Завантажити сертифікат")</f>
        <v>Завантажити сертифікат</v>
      </c>
    </row>
    <row r="3046" spans="1:6" x14ac:dyDescent="0.3">
      <c r="A3046" s="2">
        <v>3045</v>
      </c>
      <c r="B3046" s="1" t="s">
        <v>6474</v>
      </c>
      <c r="C3046" s="1" t="s">
        <v>6471</v>
      </c>
      <c r="D3046" s="1" t="s">
        <v>6472</v>
      </c>
      <c r="E3046" s="1" t="s">
        <v>6475</v>
      </c>
      <c r="F3046" s="1" t="str">
        <f>HYPERLINK("https://talan.bank.gov.ua/get-user-certificate/J53255LYcTozOTcJcQa_","Завантажити сертифікат")</f>
        <v>Завантажити сертифікат</v>
      </c>
    </row>
    <row r="3047" spans="1:6" x14ac:dyDescent="0.3">
      <c r="A3047" s="2">
        <v>3046</v>
      </c>
      <c r="B3047" s="1" t="s">
        <v>6476</v>
      </c>
      <c r="C3047" s="1" t="s">
        <v>6471</v>
      </c>
      <c r="D3047" s="1" t="s">
        <v>6472</v>
      </c>
      <c r="E3047" s="1" t="s">
        <v>6477</v>
      </c>
      <c r="F3047" s="1" t="str">
        <f>HYPERLINK("https://talan.bank.gov.ua/get-user-certificate/J5325_ns1ZR0GXsR5UYM","Завантажити сертифікат")</f>
        <v>Завантажити сертифікат</v>
      </c>
    </row>
    <row r="3048" spans="1:6" x14ac:dyDescent="0.3">
      <c r="A3048" s="2">
        <v>3047</v>
      </c>
      <c r="B3048" s="1" t="s">
        <v>6478</v>
      </c>
      <c r="C3048" s="1" t="s">
        <v>6471</v>
      </c>
      <c r="D3048" s="1" t="s">
        <v>6472</v>
      </c>
      <c r="E3048" s="1" t="s">
        <v>6479</v>
      </c>
      <c r="F3048" s="1" t="str">
        <f>HYPERLINK("https://talan.bank.gov.ua/get-user-certificate/J5325ZImfQqBiDHjOX_v","Завантажити сертифікат")</f>
        <v>Завантажити сертифікат</v>
      </c>
    </row>
    <row r="3049" spans="1:6" ht="28.8" x14ac:dyDescent="0.3">
      <c r="A3049" s="2">
        <v>3048</v>
      </c>
      <c r="B3049" s="1" t="s">
        <v>6480</v>
      </c>
      <c r="C3049" s="1" t="s">
        <v>6471</v>
      </c>
      <c r="D3049" s="1" t="s">
        <v>6472</v>
      </c>
      <c r="E3049" s="1" t="s">
        <v>6481</v>
      </c>
      <c r="F3049" s="1" t="str">
        <f>HYPERLINK("https://talan.bank.gov.ua/get-user-certificate/J5325-twtkPlrrp2ugN9","Завантажити сертифікат")</f>
        <v>Завантажити сертифікат</v>
      </c>
    </row>
    <row r="3050" spans="1:6" x14ac:dyDescent="0.3">
      <c r="A3050" s="2">
        <v>3049</v>
      </c>
      <c r="B3050" s="1" t="s">
        <v>6482</v>
      </c>
      <c r="C3050" s="1" t="s">
        <v>6471</v>
      </c>
      <c r="D3050" s="1" t="s">
        <v>6472</v>
      </c>
      <c r="E3050" s="1" t="s">
        <v>6483</v>
      </c>
      <c r="F3050" s="1" t="str">
        <f>HYPERLINK("https://talan.bank.gov.ua/get-user-certificate/J5325H2LQJIqvQ2UYVGZ","Завантажити сертифікат")</f>
        <v>Завантажити сертифікат</v>
      </c>
    </row>
    <row r="3051" spans="1:6" x14ac:dyDescent="0.3">
      <c r="A3051" s="2">
        <v>3050</v>
      </c>
      <c r="B3051" s="1" t="s">
        <v>6484</v>
      </c>
      <c r="C3051" s="1" t="s">
        <v>6471</v>
      </c>
      <c r="D3051" s="1" t="s">
        <v>6472</v>
      </c>
      <c r="E3051" s="1" t="s">
        <v>6485</v>
      </c>
      <c r="F3051" s="1" t="str">
        <f>HYPERLINK("https://talan.bank.gov.ua/get-user-certificate/J5325qAlCuYNPoAEeSSo","Завантажити сертифікат")</f>
        <v>Завантажити сертифікат</v>
      </c>
    </row>
    <row r="3052" spans="1:6" x14ac:dyDescent="0.3">
      <c r="A3052" s="2">
        <v>3051</v>
      </c>
      <c r="B3052" s="1" t="s">
        <v>6486</v>
      </c>
      <c r="C3052" s="1" t="s">
        <v>6471</v>
      </c>
      <c r="D3052" s="1" t="s">
        <v>6472</v>
      </c>
      <c r="E3052" s="1" t="s">
        <v>6487</v>
      </c>
      <c r="F3052" s="1" t="str">
        <f>HYPERLINK("https://talan.bank.gov.ua/get-user-certificate/J5325iNjxFYAKRsjQBqi","Завантажити сертифікат")</f>
        <v>Завантажити сертифікат</v>
      </c>
    </row>
    <row r="3053" spans="1:6" x14ac:dyDescent="0.3">
      <c r="A3053" s="2">
        <v>3052</v>
      </c>
      <c r="B3053" s="1" t="s">
        <v>6488</v>
      </c>
      <c r="C3053" s="1" t="s">
        <v>6471</v>
      </c>
      <c r="D3053" s="1" t="s">
        <v>6472</v>
      </c>
      <c r="E3053" s="1" t="s">
        <v>6489</v>
      </c>
      <c r="F3053" s="1" t="str">
        <f>HYPERLINK("https://talan.bank.gov.ua/get-user-certificate/J5325Lg6MGGiwBlW7oBO","Завантажити сертифікат")</f>
        <v>Завантажити сертифікат</v>
      </c>
    </row>
    <row r="3054" spans="1:6" x14ac:dyDescent="0.3">
      <c r="A3054" s="2">
        <v>3053</v>
      </c>
      <c r="B3054" s="1" t="s">
        <v>6490</v>
      </c>
      <c r="C3054" s="1" t="s">
        <v>6471</v>
      </c>
      <c r="D3054" s="1" t="s">
        <v>6472</v>
      </c>
      <c r="E3054" s="1" t="s">
        <v>6491</v>
      </c>
      <c r="F3054" s="1" t="str">
        <f>HYPERLINK("https://talan.bank.gov.ua/get-user-certificate/J5325p0LLFEtzgSXAxAj","Завантажити сертифікат")</f>
        <v>Завантажити сертифікат</v>
      </c>
    </row>
    <row r="3055" spans="1:6" x14ac:dyDescent="0.3">
      <c r="A3055" s="2">
        <v>3054</v>
      </c>
      <c r="B3055" s="1" t="s">
        <v>6492</v>
      </c>
      <c r="C3055" s="1" t="s">
        <v>6471</v>
      </c>
      <c r="D3055" s="1" t="s">
        <v>6472</v>
      </c>
      <c r="E3055" s="1" t="s">
        <v>6493</v>
      </c>
      <c r="F3055" s="1" t="str">
        <f>HYPERLINK("https://talan.bank.gov.ua/get-user-certificate/J5325UioeTOnJ1VYBZTx","Завантажити сертифікат")</f>
        <v>Завантажити сертифікат</v>
      </c>
    </row>
    <row r="3056" spans="1:6" x14ac:dyDescent="0.3">
      <c r="A3056" s="2">
        <v>3055</v>
      </c>
      <c r="B3056" s="1" t="s">
        <v>6494</v>
      </c>
      <c r="C3056" s="1" t="s">
        <v>6471</v>
      </c>
      <c r="D3056" s="1" t="s">
        <v>6472</v>
      </c>
      <c r="E3056" s="1" t="s">
        <v>6495</v>
      </c>
      <c r="F3056" s="1" t="str">
        <f>HYPERLINK("https://talan.bank.gov.ua/get-user-certificate/J53254oWOA6yVbnflu8v","Завантажити сертифікат")</f>
        <v>Завантажити сертифікат</v>
      </c>
    </row>
    <row r="3057" spans="1:6" x14ac:dyDescent="0.3">
      <c r="A3057" s="2">
        <v>3056</v>
      </c>
      <c r="B3057" s="1" t="s">
        <v>6496</v>
      </c>
      <c r="C3057" s="1" t="s">
        <v>6471</v>
      </c>
      <c r="D3057" s="1" t="s">
        <v>6472</v>
      </c>
      <c r="E3057" s="1" t="s">
        <v>6497</v>
      </c>
      <c r="F3057" s="1" t="str">
        <f>HYPERLINK("https://talan.bank.gov.ua/get-user-certificate/J5325AVEVSUtC6DlGZBW","Завантажити сертифікат")</f>
        <v>Завантажити сертифікат</v>
      </c>
    </row>
    <row r="3058" spans="1:6" x14ac:dyDescent="0.3">
      <c r="A3058" s="2">
        <v>3057</v>
      </c>
      <c r="B3058" s="1" t="s">
        <v>6498</v>
      </c>
      <c r="C3058" s="1" t="s">
        <v>6471</v>
      </c>
      <c r="D3058" s="1" t="s">
        <v>6472</v>
      </c>
      <c r="E3058" s="1" t="s">
        <v>6499</v>
      </c>
      <c r="F3058" s="1" t="str">
        <f>HYPERLINK("https://talan.bank.gov.ua/get-user-certificate/J5325TlJI8Wk539qa4FO","Завантажити сертифікат")</f>
        <v>Завантажити сертифікат</v>
      </c>
    </row>
    <row r="3059" spans="1:6" x14ac:dyDescent="0.3">
      <c r="A3059" s="2">
        <v>3058</v>
      </c>
      <c r="B3059" s="1" t="s">
        <v>6500</v>
      </c>
      <c r="C3059" s="1" t="s">
        <v>6471</v>
      </c>
      <c r="D3059" s="1" t="s">
        <v>6472</v>
      </c>
      <c r="E3059" s="1" t="s">
        <v>6501</v>
      </c>
      <c r="F3059" s="1" t="str">
        <f>HYPERLINK("https://talan.bank.gov.ua/get-user-certificate/J5325L-1MDrIFOIgQ_Yq","Завантажити сертифікат")</f>
        <v>Завантажити сертифікат</v>
      </c>
    </row>
    <row r="3060" spans="1:6" x14ac:dyDescent="0.3">
      <c r="A3060" s="2">
        <v>3059</v>
      </c>
      <c r="B3060" s="1" t="s">
        <v>6502</v>
      </c>
      <c r="C3060" s="1" t="s">
        <v>6471</v>
      </c>
      <c r="D3060" s="1" t="s">
        <v>6472</v>
      </c>
      <c r="E3060" s="1" t="s">
        <v>6503</v>
      </c>
      <c r="F3060" s="1" t="str">
        <f>HYPERLINK("https://talan.bank.gov.ua/get-user-certificate/J5325neIvj91ZSnucmMv","Завантажити сертифікат")</f>
        <v>Завантажити сертифікат</v>
      </c>
    </row>
    <row r="3061" spans="1:6" ht="28.8" x14ac:dyDescent="0.3">
      <c r="A3061" s="2">
        <v>3060</v>
      </c>
      <c r="B3061" s="1" t="s">
        <v>6504</v>
      </c>
      <c r="C3061" s="1" t="s">
        <v>6505</v>
      </c>
      <c r="D3061" s="1" t="s">
        <v>6506</v>
      </c>
      <c r="E3061" s="1" t="s">
        <v>6507</v>
      </c>
      <c r="F3061" s="1" t="str">
        <f>HYPERLINK("https://talan.bank.gov.ua/get-user-certificate/J5325TZZ919eM6ltZzzq","Завантажити сертифікат")</f>
        <v>Завантажити сертифікат</v>
      </c>
    </row>
    <row r="3062" spans="1:6" ht="28.8" x14ac:dyDescent="0.3">
      <c r="A3062" s="2">
        <v>3061</v>
      </c>
      <c r="B3062" s="1" t="s">
        <v>6508</v>
      </c>
      <c r="C3062" s="1" t="s">
        <v>6505</v>
      </c>
      <c r="D3062" s="1" t="s">
        <v>6506</v>
      </c>
      <c r="E3062" s="1" t="s">
        <v>6509</v>
      </c>
      <c r="F3062" s="1" t="str">
        <f>HYPERLINK("https://talan.bank.gov.ua/get-user-certificate/J5325IjF2qN7C7iHENIu","Завантажити сертифікат")</f>
        <v>Завантажити сертифікат</v>
      </c>
    </row>
    <row r="3063" spans="1:6" ht="28.8" x14ac:dyDescent="0.3">
      <c r="A3063" s="2">
        <v>3062</v>
      </c>
      <c r="B3063" s="1" t="s">
        <v>6510</v>
      </c>
      <c r="C3063" s="1" t="s">
        <v>6505</v>
      </c>
      <c r="D3063" s="1" t="s">
        <v>6506</v>
      </c>
      <c r="E3063" s="1" t="s">
        <v>6511</v>
      </c>
      <c r="F3063" s="1" t="str">
        <f>HYPERLINK("https://talan.bank.gov.ua/get-user-certificate/J5325uVsbiwRcn-L8oCH","Завантажити сертифікат")</f>
        <v>Завантажити сертифікат</v>
      </c>
    </row>
    <row r="3064" spans="1:6" ht="28.8" x14ac:dyDescent="0.3">
      <c r="A3064" s="2">
        <v>3063</v>
      </c>
      <c r="B3064" s="1" t="s">
        <v>6512</v>
      </c>
      <c r="C3064" s="1" t="s">
        <v>6505</v>
      </c>
      <c r="D3064" s="1" t="s">
        <v>6506</v>
      </c>
      <c r="E3064" s="1" t="s">
        <v>6513</v>
      </c>
      <c r="F3064" s="1" t="str">
        <f>HYPERLINK("https://talan.bank.gov.ua/get-user-certificate/J5325-32onT9oYgukbpG","Завантажити сертифікат")</f>
        <v>Завантажити сертифікат</v>
      </c>
    </row>
    <row r="3065" spans="1:6" ht="28.8" x14ac:dyDescent="0.3">
      <c r="A3065" s="2">
        <v>3064</v>
      </c>
      <c r="B3065" s="1" t="s">
        <v>6514</v>
      </c>
      <c r="C3065" s="1" t="s">
        <v>6505</v>
      </c>
      <c r="D3065" s="1" t="s">
        <v>6506</v>
      </c>
      <c r="E3065" s="1" t="s">
        <v>6515</v>
      </c>
      <c r="F3065" s="1" t="str">
        <f>HYPERLINK("https://talan.bank.gov.ua/get-user-certificate/J53259C365F4NpNLuNk0","Завантажити сертифікат")</f>
        <v>Завантажити сертифікат</v>
      </c>
    </row>
    <row r="3066" spans="1:6" ht="28.8" x14ac:dyDescent="0.3">
      <c r="A3066" s="2">
        <v>3065</v>
      </c>
      <c r="B3066" s="1" t="s">
        <v>6516</v>
      </c>
      <c r="C3066" s="1" t="s">
        <v>6505</v>
      </c>
      <c r="D3066" s="1" t="s">
        <v>6506</v>
      </c>
      <c r="E3066" s="1" t="s">
        <v>6517</v>
      </c>
      <c r="F3066" s="1" t="str">
        <f>HYPERLINK("https://talan.bank.gov.ua/get-user-certificate/J5325yEGQNitO8XJCPAn","Завантажити сертифікат")</f>
        <v>Завантажити сертифікат</v>
      </c>
    </row>
    <row r="3067" spans="1:6" ht="28.8" x14ac:dyDescent="0.3">
      <c r="A3067" s="2">
        <v>3066</v>
      </c>
      <c r="B3067" s="1" t="s">
        <v>6518</v>
      </c>
      <c r="C3067" s="1" t="s">
        <v>6505</v>
      </c>
      <c r="D3067" s="1" t="s">
        <v>6506</v>
      </c>
      <c r="E3067" s="1" t="s">
        <v>6519</v>
      </c>
      <c r="F3067" s="1" t="str">
        <f>HYPERLINK("https://talan.bank.gov.ua/get-user-certificate/J5325qorp5-xfJ3pWlUz","Завантажити сертифікат")</f>
        <v>Завантажити сертифікат</v>
      </c>
    </row>
    <row r="3068" spans="1:6" x14ac:dyDescent="0.3">
      <c r="A3068" s="2">
        <v>3067</v>
      </c>
      <c r="B3068" s="1" t="s">
        <v>6520</v>
      </c>
      <c r="C3068" s="1" t="s">
        <v>6521</v>
      </c>
      <c r="D3068" s="1" t="s">
        <v>6522</v>
      </c>
      <c r="E3068" s="1" t="s">
        <v>6523</v>
      </c>
      <c r="F3068" s="1" t="str">
        <f>HYPERLINK("https://talan.bank.gov.ua/get-user-certificate/J5325iUTWv03rsZvEO4T","Завантажити сертифікат")</f>
        <v>Завантажити сертифікат</v>
      </c>
    </row>
    <row r="3069" spans="1:6" x14ac:dyDescent="0.3">
      <c r="A3069" s="2">
        <v>3068</v>
      </c>
      <c r="B3069" s="1" t="s">
        <v>6524</v>
      </c>
      <c r="C3069" s="1" t="s">
        <v>6521</v>
      </c>
      <c r="D3069" s="1" t="s">
        <v>6522</v>
      </c>
      <c r="E3069" s="1" t="s">
        <v>6525</v>
      </c>
      <c r="F3069" s="1" t="str">
        <f>HYPERLINK("https://talan.bank.gov.ua/get-user-certificate/J5325TAiGLmylf0ZkX5s","Завантажити сертифікат")</f>
        <v>Завантажити сертифікат</v>
      </c>
    </row>
    <row r="3070" spans="1:6" x14ac:dyDescent="0.3">
      <c r="A3070" s="2">
        <v>3069</v>
      </c>
      <c r="B3070" s="1" t="s">
        <v>6526</v>
      </c>
      <c r="C3070" s="1" t="s">
        <v>6521</v>
      </c>
      <c r="D3070" s="1" t="s">
        <v>6522</v>
      </c>
      <c r="E3070" s="1" t="s">
        <v>6527</v>
      </c>
      <c r="F3070" s="1" t="str">
        <f>HYPERLINK("https://talan.bank.gov.ua/get-user-certificate/J5325tHhvaHH3a70Tu8S","Завантажити сертифікат")</f>
        <v>Завантажити сертифікат</v>
      </c>
    </row>
    <row r="3071" spans="1:6" x14ac:dyDescent="0.3">
      <c r="A3071" s="2">
        <v>3070</v>
      </c>
      <c r="B3071" s="1" t="s">
        <v>6528</v>
      </c>
      <c r="C3071" s="1" t="s">
        <v>6521</v>
      </c>
      <c r="D3071" s="1" t="s">
        <v>6522</v>
      </c>
      <c r="E3071" s="1" t="s">
        <v>6529</v>
      </c>
      <c r="F3071" s="1" t="str">
        <f>HYPERLINK("https://talan.bank.gov.ua/get-user-certificate/J5325Wqxgl0LWz7WuFAa","Завантажити сертифікат")</f>
        <v>Завантажити сертифікат</v>
      </c>
    </row>
    <row r="3072" spans="1:6" x14ac:dyDescent="0.3">
      <c r="A3072" s="2">
        <v>3071</v>
      </c>
      <c r="B3072" s="1" t="s">
        <v>6530</v>
      </c>
      <c r="C3072" s="1" t="s">
        <v>6521</v>
      </c>
      <c r="D3072" s="1" t="s">
        <v>6522</v>
      </c>
      <c r="E3072" s="1" t="s">
        <v>6531</v>
      </c>
      <c r="F3072" s="1" t="str">
        <f>HYPERLINK("https://talan.bank.gov.ua/get-user-certificate/J5325WBYZLRGxl64fTWf","Завантажити сертифікат")</f>
        <v>Завантажити сертифікат</v>
      </c>
    </row>
    <row r="3073" spans="1:6" x14ac:dyDescent="0.3">
      <c r="A3073" s="2">
        <v>3072</v>
      </c>
      <c r="B3073" s="1" t="s">
        <v>6532</v>
      </c>
      <c r="C3073" s="1" t="s">
        <v>6521</v>
      </c>
      <c r="D3073" s="1" t="s">
        <v>6522</v>
      </c>
      <c r="E3073" s="1" t="s">
        <v>6533</v>
      </c>
      <c r="F3073" s="1" t="str">
        <f>HYPERLINK("https://talan.bank.gov.ua/get-user-certificate/J5325EFN-K3y6iNolx6n","Завантажити сертифікат")</f>
        <v>Завантажити сертифікат</v>
      </c>
    </row>
    <row r="3074" spans="1:6" x14ac:dyDescent="0.3">
      <c r="A3074" s="2">
        <v>3073</v>
      </c>
      <c r="B3074" s="1" t="s">
        <v>6534</v>
      </c>
      <c r="C3074" s="1" t="s">
        <v>6521</v>
      </c>
      <c r="D3074" s="1" t="s">
        <v>6522</v>
      </c>
      <c r="E3074" s="1" t="s">
        <v>6535</v>
      </c>
      <c r="F3074" s="1" t="str">
        <f>HYPERLINK("https://talan.bank.gov.ua/get-user-certificate/J5325Zrbb9aHMBQVeWu-","Завантажити сертифікат")</f>
        <v>Завантажити сертифікат</v>
      </c>
    </row>
    <row r="3075" spans="1:6" x14ac:dyDescent="0.3">
      <c r="A3075" s="2">
        <v>3074</v>
      </c>
      <c r="B3075" s="1" t="s">
        <v>6536</v>
      </c>
      <c r="C3075" s="1" t="s">
        <v>6521</v>
      </c>
      <c r="D3075" s="1" t="s">
        <v>6522</v>
      </c>
      <c r="E3075" s="1" t="s">
        <v>6537</v>
      </c>
      <c r="F3075" s="1" t="str">
        <f>HYPERLINK("https://talan.bank.gov.ua/get-user-certificate/J5325yentNIqz90qOTnT","Завантажити сертифікат")</f>
        <v>Завантажити сертифікат</v>
      </c>
    </row>
    <row r="3076" spans="1:6" x14ac:dyDescent="0.3">
      <c r="A3076" s="2">
        <v>3075</v>
      </c>
      <c r="B3076" s="1" t="s">
        <v>6538</v>
      </c>
      <c r="C3076" s="1" t="s">
        <v>6521</v>
      </c>
      <c r="D3076" s="1" t="s">
        <v>6522</v>
      </c>
      <c r="E3076" s="1" t="s">
        <v>6539</v>
      </c>
      <c r="F3076" s="1" t="str">
        <f>HYPERLINK("https://talan.bank.gov.ua/get-user-certificate/J5325lEPw19EvErveDEx","Завантажити сертифікат")</f>
        <v>Завантажити сертифікат</v>
      </c>
    </row>
    <row r="3077" spans="1:6" x14ac:dyDescent="0.3">
      <c r="A3077" s="2">
        <v>3076</v>
      </c>
      <c r="B3077" s="1" t="s">
        <v>6540</v>
      </c>
      <c r="C3077" s="1" t="s">
        <v>6521</v>
      </c>
      <c r="D3077" s="1" t="s">
        <v>6522</v>
      </c>
      <c r="E3077" s="1" t="s">
        <v>6541</v>
      </c>
      <c r="F3077" s="1" t="str">
        <f>HYPERLINK("https://talan.bank.gov.ua/get-user-certificate/J53256WQYo8F5yR1BHqi","Завантажити сертифікат")</f>
        <v>Завантажити сертифікат</v>
      </c>
    </row>
    <row r="3078" spans="1:6" x14ac:dyDescent="0.3">
      <c r="A3078" s="2">
        <v>3077</v>
      </c>
      <c r="B3078" s="1" t="s">
        <v>6542</v>
      </c>
      <c r="C3078" s="1" t="s">
        <v>6521</v>
      </c>
      <c r="D3078" s="1" t="s">
        <v>6522</v>
      </c>
      <c r="E3078" s="1" t="s">
        <v>6543</v>
      </c>
      <c r="F3078" s="1" t="str">
        <f>HYPERLINK("https://talan.bank.gov.ua/get-user-certificate/J53251uYzezbEyEmQXcT","Завантажити сертифікат")</f>
        <v>Завантажити сертифікат</v>
      </c>
    </row>
    <row r="3079" spans="1:6" x14ac:dyDescent="0.3">
      <c r="A3079" s="2">
        <v>3078</v>
      </c>
      <c r="B3079" s="1" t="s">
        <v>6544</v>
      </c>
      <c r="C3079" s="1" t="s">
        <v>6521</v>
      </c>
      <c r="D3079" s="1" t="s">
        <v>6522</v>
      </c>
      <c r="E3079" s="1" t="s">
        <v>6545</v>
      </c>
      <c r="F3079" s="1" t="str">
        <f>HYPERLINK("https://talan.bank.gov.ua/get-user-certificate/J5325ZpgB2t1SZnP0Dhu","Завантажити сертифікат")</f>
        <v>Завантажити сертифікат</v>
      </c>
    </row>
    <row r="3080" spans="1:6" x14ac:dyDescent="0.3">
      <c r="A3080" s="2">
        <v>3079</v>
      </c>
      <c r="B3080" s="1" t="s">
        <v>6546</v>
      </c>
      <c r="C3080" s="1" t="s">
        <v>6521</v>
      </c>
      <c r="D3080" s="1" t="s">
        <v>6522</v>
      </c>
      <c r="E3080" s="1" t="s">
        <v>6547</v>
      </c>
      <c r="F3080" s="1" t="str">
        <f>HYPERLINK("https://talan.bank.gov.ua/get-user-certificate/J5325Aj5234O8OTnUG9J","Завантажити сертифікат")</f>
        <v>Завантажити сертифікат</v>
      </c>
    </row>
    <row r="3081" spans="1:6" x14ac:dyDescent="0.3">
      <c r="A3081" s="2">
        <v>3080</v>
      </c>
      <c r="B3081" s="1" t="s">
        <v>6548</v>
      </c>
      <c r="C3081" s="1" t="s">
        <v>6521</v>
      </c>
      <c r="D3081" s="1" t="s">
        <v>6522</v>
      </c>
      <c r="E3081" s="1" t="s">
        <v>6549</v>
      </c>
      <c r="F3081" s="1" t="str">
        <f>HYPERLINK("https://talan.bank.gov.ua/get-user-certificate/J5325j80gCvIsMeeipMj","Завантажити сертифікат")</f>
        <v>Завантажити сертифікат</v>
      </c>
    </row>
    <row r="3082" spans="1:6" x14ac:dyDescent="0.3">
      <c r="A3082" s="2">
        <v>3081</v>
      </c>
      <c r="B3082" s="1" t="s">
        <v>6550</v>
      </c>
      <c r="C3082" s="1" t="s">
        <v>6521</v>
      </c>
      <c r="D3082" s="1" t="s">
        <v>6522</v>
      </c>
      <c r="E3082" s="1" t="s">
        <v>6551</v>
      </c>
      <c r="F3082" s="1" t="str">
        <f>HYPERLINK("https://talan.bank.gov.ua/get-user-certificate/J5325hTxTocnmLPem4tL","Завантажити сертифікат")</f>
        <v>Завантажити сертифікат</v>
      </c>
    </row>
    <row r="3083" spans="1:6" x14ac:dyDescent="0.3">
      <c r="A3083" s="2">
        <v>3082</v>
      </c>
      <c r="B3083" s="1" t="s">
        <v>6552</v>
      </c>
      <c r="C3083" s="1" t="s">
        <v>6521</v>
      </c>
      <c r="D3083" s="1" t="s">
        <v>6522</v>
      </c>
      <c r="E3083" s="1" t="s">
        <v>6553</v>
      </c>
      <c r="F3083" s="1" t="str">
        <f>HYPERLINK("https://talan.bank.gov.ua/get-user-certificate/J5325FGhIxdoFEp_sk2e","Завантажити сертифікат")</f>
        <v>Завантажити сертифікат</v>
      </c>
    </row>
    <row r="3084" spans="1:6" x14ac:dyDescent="0.3">
      <c r="A3084" s="2">
        <v>3083</v>
      </c>
      <c r="B3084" s="1" t="s">
        <v>6554</v>
      </c>
      <c r="C3084" s="1" t="s">
        <v>6521</v>
      </c>
      <c r="D3084" s="1" t="s">
        <v>6522</v>
      </c>
      <c r="E3084" s="1" t="s">
        <v>6555</v>
      </c>
      <c r="F3084" s="1" t="str">
        <f>HYPERLINK("https://talan.bank.gov.ua/get-user-certificate/J53256CGArxhH-enMWu3","Завантажити сертифікат")</f>
        <v>Завантажити сертифікат</v>
      </c>
    </row>
    <row r="3085" spans="1:6" x14ac:dyDescent="0.3">
      <c r="A3085" s="2">
        <v>3084</v>
      </c>
      <c r="B3085" s="1" t="s">
        <v>6556</v>
      </c>
      <c r="C3085" s="1" t="s">
        <v>6521</v>
      </c>
      <c r="D3085" s="1" t="s">
        <v>6522</v>
      </c>
      <c r="E3085" s="1" t="s">
        <v>6557</v>
      </c>
      <c r="F3085" s="1" t="str">
        <f>HYPERLINK("https://talan.bank.gov.ua/get-user-certificate/J5325zyHLZU1gzHPiICv","Завантажити сертифікат")</f>
        <v>Завантажити сертифікат</v>
      </c>
    </row>
    <row r="3086" spans="1:6" x14ac:dyDescent="0.3">
      <c r="A3086" s="2">
        <v>3085</v>
      </c>
      <c r="B3086" s="1" t="s">
        <v>6558</v>
      </c>
      <c r="C3086" s="1" t="s">
        <v>6521</v>
      </c>
      <c r="D3086" s="1" t="s">
        <v>6522</v>
      </c>
      <c r="E3086" s="1" t="s">
        <v>6559</v>
      </c>
      <c r="F3086" s="1" t="str">
        <f>HYPERLINK("https://talan.bank.gov.ua/get-user-certificate/J5325bVFKJ78FYcLMPy0","Завантажити сертифікат")</f>
        <v>Завантажити сертифікат</v>
      </c>
    </row>
    <row r="3087" spans="1:6" x14ac:dyDescent="0.3">
      <c r="A3087" s="2">
        <v>3086</v>
      </c>
      <c r="B3087" s="1" t="s">
        <v>6560</v>
      </c>
      <c r="C3087" s="1" t="s">
        <v>6521</v>
      </c>
      <c r="D3087" s="1" t="s">
        <v>6522</v>
      </c>
      <c r="E3087" s="1" t="s">
        <v>6561</v>
      </c>
      <c r="F3087" s="1" t="str">
        <f>HYPERLINK("https://talan.bank.gov.ua/get-user-certificate/J5325fIcyXGUfsP6ScWZ","Завантажити сертифікат")</f>
        <v>Завантажити сертифікат</v>
      </c>
    </row>
    <row r="3088" spans="1:6" x14ac:dyDescent="0.3">
      <c r="A3088" s="2">
        <v>3087</v>
      </c>
      <c r="B3088" s="1" t="s">
        <v>6562</v>
      </c>
      <c r="C3088" s="1" t="s">
        <v>6521</v>
      </c>
      <c r="D3088" s="1" t="s">
        <v>6522</v>
      </c>
      <c r="E3088" s="1" t="s">
        <v>6563</v>
      </c>
      <c r="F3088" s="1" t="str">
        <f>HYPERLINK("https://talan.bank.gov.ua/get-user-certificate/J5325uIyKAaqgLxiXgq3","Завантажити сертифікат")</f>
        <v>Завантажити сертифікат</v>
      </c>
    </row>
    <row r="3089" spans="1:6" x14ac:dyDescent="0.3">
      <c r="A3089" s="2">
        <v>3088</v>
      </c>
      <c r="B3089" s="1" t="s">
        <v>6564</v>
      </c>
      <c r="C3089" s="1" t="s">
        <v>6521</v>
      </c>
      <c r="D3089" s="1" t="s">
        <v>6522</v>
      </c>
      <c r="E3089" s="1" t="s">
        <v>6565</v>
      </c>
      <c r="F3089" s="1" t="str">
        <f>HYPERLINK("https://talan.bank.gov.ua/get-user-certificate/J5325da0ryuzBHImwGAz","Завантажити сертифікат")</f>
        <v>Завантажити сертифікат</v>
      </c>
    </row>
    <row r="3090" spans="1:6" x14ac:dyDescent="0.3">
      <c r="A3090" s="2">
        <v>3089</v>
      </c>
      <c r="B3090" s="1" t="s">
        <v>6566</v>
      </c>
      <c r="C3090" s="1" t="s">
        <v>6521</v>
      </c>
      <c r="D3090" s="1" t="s">
        <v>6522</v>
      </c>
      <c r="E3090" s="1" t="s">
        <v>6567</v>
      </c>
      <c r="F3090" s="1" t="str">
        <f>HYPERLINK("https://talan.bank.gov.ua/get-user-certificate/J5325QAsUaETiLHCdOmg","Завантажити сертифікат")</f>
        <v>Завантажити сертифікат</v>
      </c>
    </row>
    <row r="3091" spans="1:6" x14ac:dyDescent="0.3">
      <c r="A3091" s="2">
        <v>3090</v>
      </c>
      <c r="B3091" s="1" t="s">
        <v>6568</v>
      </c>
      <c r="C3091" s="1" t="s">
        <v>6521</v>
      </c>
      <c r="D3091" s="1" t="s">
        <v>6522</v>
      </c>
      <c r="E3091" s="1" t="s">
        <v>6569</v>
      </c>
      <c r="F3091" s="1" t="str">
        <f>HYPERLINK("https://talan.bank.gov.ua/get-user-certificate/J5325hlRSsmhhXSSaBdw","Завантажити сертифікат")</f>
        <v>Завантажити сертифікат</v>
      </c>
    </row>
    <row r="3092" spans="1:6" x14ac:dyDescent="0.3">
      <c r="A3092" s="2">
        <v>3091</v>
      </c>
      <c r="B3092" s="1" t="s">
        <v>6570</v>
      </c>
      <c r="C3092" s="1" t="s">
        <v>6521</v>
      </c>
      <c r="D3092" s="1" t="s">
        <v>6522</v>
      </c>
      <c r="E3092" s="1" t="s">
        <v>6571</v>
      </c>
      <c r="F3092" s="1" t="str">
        <f>HYPERLINK("https://talan.bank.gov.ua/get-user-certificate/J5325cBaFWzs9DTREMUX","Завантажити сертифікат")</f>
        <v>Завантажити сертифікат</v>
      </c>
    </row>
    <row r="3093" spans="1:6" x14ac:dyDescent="0.3">
      <c r="A3093" s="2">
        <v>3092</v>
      </c>
      <c r="B3093" s="1" t="s">
        <v>6572</v>
      </c>
      <c r="C3093" s="1" t="s">
        <v>6521</v>
      </c>
      <c r="D3093" s="1" t="s">
        <v>6522</v>
      </c>
      <c r="E3093" s="1" t="s">
        <v>6573</v>
      </c>
      <c r="F3093" s="1" t="str">
        <f>HYPERLINK("https://talan.bank.gov.ua/get-user-certificate/J53257hmxCrS7pH1UPk3","Завантажити сертифікат")</f>
        <v>Завантажити сертифікат</v>
      </c>
    </row>
    <row r="3094" spans="1:6" x14ac:dyDescent="0.3">
      <c r="A3094" s="2">
        <v>3093</v>
      </c>
      <c r="B3094" s="1" t="s">
        <v>6574</v>
      </c>
      <c r="C3094" s="1" t="s">
        <v>6521</v>
      </c>
      <c r="D3094" s="1" t="s">
        <v>6522</v>
      </c>
      <c r="E3094" s="1" t="s">
        <v>6575</v>
      </c>
      <c r="F3094" s="1" t="str">
        <f>HYPERLINK("https://talan.bank.gov.ua/get-user-certificate/J5325WV9yXRVIGZUBqLq","Завантажити сертифікат")</f>
        <v>Завантажити сертифікат</v>
      </c>
    </row>
    <row r="3095" spans="1:6" x14ac:dyDescent="0.3">
      <c r="A3095" s="2">
        <v>3094</v>
      </c>
      <c r="B3095" s="1" t="s">
        <v>6576</v>
      </c>
      <c r="C3095" s="1" t="s">
        <v>6521</v>
      </c>
      <c r="D3095" s="1" t="s">
        <v>6522</v>
      </c>
      <c r="E3095" s="1" t="s">
        <v>6577</v>
      </c>
      <c r="F3095" s="1" t="str">
        <f>HYPERLINK("https://talan.bank.gov.ua/get-user-certificate/J5325IfxEUz-ohKSFIZB","Завантажити сертифікат")</f>
        <v>Завантажити сертифікат</v>
      </c>
    </row>
    <row r="3096" spans="1:6" x14ac:dyDescent="0.3">
      <c r="A3096" s="2">
        <v>3095</v>
      </c>
      <c r="B3096" s="1" t="s">
        <v>6578</v>
      </c>
      <c r="C3096" s="1" t="s">
        <v>6521</v>
      </c>
      <c r="D3096" s="1" t="s">
        <v>6522</v>
      </c>
      <c r="E3096" s="1" t="s">
        <v>6579</v>
      </c>
      <c r="F3096" s="1" t="str">
        <f>HYPERLINK("https://talan.bank.gov.ua/get-user-certificate/J532574ef7PbcDp9aaKt","Завантажити сертифікат")</f>
        <v>Завантажити сертифікат</v>
      </c>
    </row>
    <row r="3097" spans="1:6" ht="28.8" x14ac:dyDescent="0.3">
      <c r="A3097" s="2">
        <v>3096</v>
      </c>
      <c r="B3097" s="1" t="s">
        <v>6580</v>
      </c>
      <c r="C3097" s="1" t="s">
        <v>6521</v>
      </c>
      <c r="D3097" s="1" t="s">
        <v>6522</v>
      </c>
      <c r="E3097" s="1" t="s">
        <v>6581</v>
      </c>
      <c r="F3097" s="1" t="str">
        <f>HYPERLINK("https://talan.bank.gov.ua/get-user-certificate/J5325vplgtbTWwY-HBPI","Завантажити сертифікат")</f>
        <v>Завантажити сертифікат</v>
      </c>
    </row>
    <row r="3098" spans="1:6" x14ac:dyDescent="0.3">
      <c r="A3098" s="2">
        <v>3097</v>
      </c>
      <c r="B3098" s="1" t="s">
        <v>6582</v>
      </c>
      <c r="C3098" s="1" t="s">
        <v>6521</v>
      </c>
      <c r="D3098" s="1" t="s">
        <v>6522</v>
      </c>
      <c r="E3098" s="1" t="s">
        <v>6583</v>
      </c>
      <c r="F3098" s="1" t="str">
        <f>HYPERLINK("https://talan.bank.gov.ua/get-user-certificate/J5325XhJ5qFw6QCDHVxb","Завантажити сертифікат")</f>
        <v>Завантажити сертифікат</v>
      </c>
    </row>
    <row r="3099" spans="1:6" x14ac:dyDescent="0.3">
      <c r="A3099" s="2">
        <v>3098</v>
      </c>
      <c r="B3099" s="1" t="s">
        <v>6584</v>
      </c>
      <c r="C3099" s="1" t="s">
        <v>6521</v>
      </c>
      <c r="D3099" s="1" t="s">
        <v>6522</v>
      </c>
      <c r="E3099" s="1" t="s">
        <v>6585</v>
      </c>
      <c r="F3099" s="1" t="str">
        <f>HYPERLINK("https://talan.bank.gov.ua/get-user-certificate/J53254-3xf6961UcCkD3","Завантажити сертифікат")</f>
        <v>Завантажити сертифікат</v>
      </c>
    </row>
    <row r="3100" spans="1:6" x14ac:dyDescent="0.3">
      <c r="A3100" s="2">
        <v>3099</v>
      </c>
      <c r="B3100" s="1" t="s">
        <v>6586</v>
      </c>
      <c r="C3100" s="1" t="s">
        <v>6521</v>
      </c>
      <c r="D3100" s="1" t="s">
        <v>6522</v>
      </c>
      <c r="E3100" s="1" t="s">
        <v>6587</v>
      </c>
      <c r="F3100" s="1" t="str">
        <f>HYPERLINK("https://talan.bank.gov.ua/get-user-certificate/J53252OAo1CyJWRZI4xf","Завантажити сертифікат")</f>
        <v>Завантажити сертифікат</v>
      </c>
    </row>
    <row r="3101" spans="1:6" x14ac:dyDescent="0.3">
      <c r="A3101" s="2">
        <v>3100</v>
      </c>
      <c r="B3101" s="1" t="s">
        <v>6588</v>
      </c>
      <c r="C3101" s="1" t="s">
        <v>6521</v>
      </c>
      <c r="D3101" s="1" t="s">
        <v>6522</v>
      </c>
      <c r="E3101" s="1" t="s">
        <v>6589</v>
      </c>
      <c r="F3101" s="1" t="str">
        <f>HYPERLINK("https://talan.bank.gov.ua/get-user-certificate/J5325r2MtR3BC5VYoeh8","Завантажити сертифікат")</f>
        <v>Завантажити сертифікат</v>
      </c>
    </row>
    <row r="3102" spans="1:6" ht="28.8" x14ac:dyDescent="0.3">
      <c r="A3102" s="2">
        <v>3101</v>
      </c>
      <c r="B3102" s="1" t="s">
        <v>6590</v>
      </c>
      <c r="C3102" s="1" t="s">
        <v>6591</v>
      </c>
      <c r="D3102" s="1" t="s">
        <v>6592</v>
      </c>
      <c r="E3102" s="1" t="s">
        <v>6593</v>
      </c>
      <c r="F3102" s="1" t="str">
        <f>HYPERLINK("https://talan.bank.gov.ua/get-user-certificate/J5325IGHJhv0pZnLZGnm","Завантажити сертифікат")</f>
        <v>Завантажити сертифікат</v>
      </c>
    </row>
    <row r="3103" spans="1:6" ht="28.8" x14ac:dyDescent="0.3">
      <c r="A3103" s="2">
        <v>3102</v>
      </c>
      <c r="B3103" s="1" t="s">
        <v>6594</v>
      </c>
      <c r="C3103" s="1" t="s">
        <v>6591</v>
      </c>
      <c r="D3103" s="1" t="s">
        <v>6592</v>
      </c>
      <c r="E3103" s="1" t="s">
        <v>6595</v>
      </c>
      <c r="F3103" s="1" t="str">
        <f>HYPERLINK("https://talan.bank.gov.ua/get-user-certificate/J5325eequK-PeqOAlAnU","Завантажити сертифікат")</f>
        <v>Завантажити сертифікат</v>
      </c>
    </row>
    <row r="3104" spans="1:6" ht="28.8" x14ac:dyDescent="0.3">
      <c r="A3104" s="2">
        <v>3103</v>
      </c>
      <c r="B3104" s="1" t="s">
        <v>6596</v>
      </c>
      <c r="C3104" s="1" t="s">
        <v>6591</v>
      </c>
      <c r="D3104" s="1" t="s">
        <v>6592</v>
      </c>
      <c r="E3104" s="1" t="s">
        <v>6597</v>
      </c>
      <c r="F3104" s="1" t="str">
        <f>HYPERLINK("https://talan.bank.gov.ua/get-user-certificate/J5325wRJsuImRA9nKtkn","Завантажити сертифікат")</f>
        <v>Завантажити сертифікат</v>
      </c>
    </row>
    <row r="3105" spans="1:6" ht="28.8" x14ac:dyDescent="0.3">
      <c r="A3105" s="2">
        <v>3104</v>
      </c>
      <c r="B3105" s="1" t="s">
        <v>6598</v>
      </c>
      <c r="C3105" s="1" t="s">
        <v>6591</v>
      </c>
      <c r="D3105" s="1" t="s">
        <v>6592</v>
      </c>
      <c r="E3105" s="1" t="s">
        <v>6599</v>
      </c>
      <c r="F3105" s="1" t="str">
        <f>HYPERLINK("https://talan.bank.gov.ua/get-user-certificate/J53254ntP5wFStM_f_z_","Завантажити сертифікат")</f>
        <v>Завантажити сертифікат</v>
      </c>
    </row>
    <row r="3106" spans="1:6" ht="28.8" x14ac:dyDescent="0.3">
      <c r="A3106" s="2">
        <v>3105</v>
      </c>
      <c r="B3106" s="1" t="s">
        <v>6600</v>
      </c>
      <c r="C3106" s="1" t="s">
        <v>6591</v>
      </c>
      <c r="D3106" s="1" t="s">
        <v>6592</v>
      </c>
      <c r="E3106" s="1" t="s">
        <v>6601</v>
      </c>
      <c r="F3106" s="1" t="str">
        <f>HYPERLINK("https://talan.bank.gov.ua/get-user-certificate/J5325rDIb-ULpeIyr3dj","Завантажити сертифікат")</f>
        <v>Завантажити сертифікат</v>
      </c>
    </row>
    <row r="3107" spans="1:6" ht="28.8" x14ac:dyDescent="0.3">
      <c r="A3107" s="2">
        <v>3106</v>
      </c>
      <c r="B3107" s="1" t="s">
        <v>6602</v>
      </c>
      <c r="C3107" s="1" t="s">
        <v>6591</v>
      </c>
      <c r="D3107" s="1" t="s">
        <v>6592</v>
      </c>
      <c r="E3107" s="1" t="s">
        <v>6603</v>
      </c>
      <c r="F3107" s="1" t="str">
        <f>HYPERLINK("https://talan.bank.gov.ua/get-user-certificate/J5325xvs_XtqRZi75CNV","Завантажити сертифікат")</f>
        <v>Завантажити сертифікат</v>
      </c>
    </row>
    <row r="3108" spans="1:6" ht="28.8" x14ac:dyDescent="0.3">
      <c r="A3108" s="2">
        <v>3107</v>
      </c>
      <c r="B3108" s="1" t="s">
        <v>6604</v>
      </c>
      <c r="C3108" s="1" t="s">
        <v>6591</v>
      </c>
      <c r="D3108" s="1" t="s">
        <v>6592</v>
      </c>
      <c r="E3108" s="1" t="s">
        <v>6605</v>
      </c>
      <c r="F3108" s="1" t="str">
        <f>HYPERLINK("https://talan.bank.gov.ua/get-user-certificate/J53258t3RZjh3dePMFAs","Завантажити сертифікат")</f>
        <v>Завантажити сертифікат</v>
      </c>
    </row>
    <row r="3109" spans="1:6" ht="28.8" x14ac:dyDescent="0.3">
      <c r="A3109" s="2">
        <v>3108</v>
      </c>
      <c r="B3109" s="1" t="s">
        <v>6606</v>
      </c>
      <c r="C3109" s="1" t="s">
        <v>6591</v>
      </c>
      <c r="D3109" s="1" t="s">
        <v>6592</v>
      </c>
      <c r="E3109" s="1" t="s">
        <v>6607</v>
      </c>
      <c r="F3109" s="1" t="str">
        <f>HYPERLINK("https://talan.bank.gov.ua/get-user-certificate/J5325UGKSii8HqFTYM4h","Завантажити сертифікат")</f>
        <v>Завантажити сертифікат</v>
      </c>
    </row>
    <row r="3110" spans="1:6" ht="28.8" x14ac:dyDescent="0.3">
      <c r="A3110" s="2">
        <v>3109</v>
      </c>
      <c r="B3110" s="1" t="s">
        <v>6608</v>
      </c>
      <c r="C3110" s="1" t="s">
        <v>6591</v>
      </c>
      <c r="D3110" s="1" t="s">
        <v>6592</v>
      </c>
      <c r="E3110" s="1" t="s">
        <v>6609</v>
      </c>
      <c r="F3110" s="1" t="str">
        <f>HYPERLINK("https://talan.bank.gov.ua/get-user-certificate/J53251_AmD7ggilU7h5N","Завантажити сертифікат")</f>
        <v>Завантажити сертифікат</v>
      </c>
    </row>
    <row r="3111" spans="1:6" ht="28.8" x14ac:dyDescent="0.3">
      <c r="A3111" s="2">
        <v>3110</v>
      </c>
      <c r="B3111" s="1" t="s">
        <v>6610</v>
      </c>
      <c r="C3111" s="1" t="s">
        <v>6591</v>
      </c>
      <c r="D3111" s="1" t="s">
        <v>6592</v>
      </c>
      <c r="E3111" s="1" t="s">
        <v>6611</v>
      </c>
      <c r="F3111" s="1" t="str">
        <f>HYPERLINK("https://talan.bank.gov.ua/get-user-certificate/J53252Ub-8HkXV5EQFIo","Завантажити сертифікат")</f>
        <v>Завантажити сертифікат</v>
      </c>
    </row>
    <row r="3112" spans="1:6" ht="28.8" x14ac:dyDescent="0.3">
      <c r="A3112" s="2">
        <v>3111</v>
      </c>
      <c r="B3112" s="1" t="s">
        <v>6612</v>
      </c>
      <c r="C3112" s="1" t="s">
        <v>6591</v>
      </c>
      <c r="D3112" s="1" t="s">
        <v>6592</v>
      </c>
      <c r="E3112" s="1" t="s">
        <v>6613</v>
      </c>
      <c r="F3112" s="1" t="str">
        <f>HYPERLINK("https://talan.bank.gov.ua/get-user-certificate/J53257IO6x23-O57mr0r","Завантажити сертифікат")</f>
        <v>Завантажити сертифікат</v>
      </c>
    </row>
    <row r="3113" spans="1:6" ht="28.8" x14ac:dyDescent="0.3">
      <c r="A3113" s="2">
        <v>3112</v>
      </c>
      <c r="B3113" s="1" t="s">
        <v>6614</v>
      </c>
      <c r="C3113" s="1" t="s">
        <v>6591</v>
      </c>
      <c r="D3113" s="1" t="s">
        <v>6592</v>
      </c>
      <c r="E3113" s="1" t="s">
        <v>6615</v>
      </c>
      <c r="F3113" s="1" t="str">
        <f>HYPERLINK("https://talan.bank.gov.ua/get-user-certificate/J5325Qvv2oIJxDZc-w2B","Завантажити сертифікат")</f>
        <v>Завантажити сертифікат</v>
      </c>
    </row>
    <row r="3114" spans="1:6" ht="28.8" x14ac:dyDescent="0.3">
      <c r="A3114" s="2">
        <v>3113</v>
      </c>
      <c r="B3114" s="1" t="s">
        <v>6616</v>
      </c>
      <c r="C3114" s="1" t="s">
        <v>6591</v>
      </c>
      <c r="D3114" s="1" t="s">
        <v>6592</v>
      </c>
      <c r="E3114" s="1" t="s">
        <v>6617</v>
      </c>
      <c r="F3114" s="1" t="str">
        <f>HYPERLINK("https://talan.bank.gov.ua/get-user-certificate/J5325aP9peXjDCJPr8v0","Завантажити сертифікат")</f>
        <v>Завантажити сертифікат</v>
      </c>
    </row>
    <row r="3115" spans="1:6" ht="28.8" x14ac:dyDescent="0.3">
      <c r="A3115" s="2">
        <v>3114</v>
      </c>
      <c r="B3115" s="1" t="s">
        <v>6618</v>
      </c>
      <c r="C3115" s="1" t="s">
        <v>6591</v>
      </c>
      <c r="D3115" s="1" t="s">
        <v>6592</v>
      </c>
      <c r="E3115" s="1" t="s">
        <v>6619</v>
      </c>
      <c r="F3115" s="1" t="str">
        <f>HYPERLINK("https://talan.bank.gov.ua/get-user-certificate/J5325JEsc6cN4J4Nh7wL","Завантажити сертифікат")</f>
        <v>Завантажити сертифікат</v>
      </c>
    </row>
    <row r="3116" spans="1:6" ht="28.8" x14ac:dyDescent="0.3">
      <c r="A3116" s="2">
        <v>3115</v>
      </c>
      <c r="B3116" s="1" t="s">
        <v>6620</v>
      </c>
      <c r="C3116" s="1" t="s">
        <v>6591</v>
      </c>
      <c r="D3116" s="1" t="s">
        <v>6592</v>
      </c>
      <c r="E3116" s="1" t="s">
        <v>6621</v>
      </c>
      <c r="F3116" s="1" t="str">
        <f>HYPERLINK("https://talan.bank.gov.ua/get-user-certificate/J5325uOd_Qfd96NZsERJ","Завантажити сертифікат")</f>
        <v>Завантажити сертифікат</v>
      </c>
    </row>
    <row r="3117" spans="1:6" ht="28.8" x14ac:dyDescent="0.3">
      <c r="A3117" s="2">
        <v>3116</v>
      </c>
      <c r="B3117" s="1" t="s">
        <v>6622</v>
      </c>
      <c r="C3117" s="1" t="s">
        <v>6591</v>
      </c>
      <c r="D3117" s="1" t="s">
        <v>6592</v>
      </c>
      <c r="E3117" s="1" t="s">
        <v>6623</v>
      </c>
      <c r="F3117" s="1" t="str">
        <f>HYPERLINK("https://talan.bank.gov.ua/get-user-certificate/J5325r9fB9kN7Ol61I9A","Завантажити сертифікат")</f>
        <v>Завантажити сертифікат</v>
      </c>
    </row>
    <row r="3118" spans="1:6" ht="28.8" x14ac:dyDescent="0.3">
      <c r="A3118" s="2">
        <v>3117</v>
      </c>
      <c r="B3118" s="1" t="s">
        <v>6624</v>
      </c>
      <c r="C3118" s="1" t="s">
        <v>6591</v>
      </c>
      <c r="D3118" s="1" t="s">
        <v>6592</v>
      </c>
      <c r="E3118" s="1" t="s">
        <v>6625</v>
      </c>
      <c r="F3118" s="1" t="str">
        <f>HYPERLINK("https://talan.bank.gov.ua/get-user-certificate/J5325Au9kBJ7Ta189I2F","Завантажити сертифікат")</f>
        <v>Завантажити сертифікат</v>
      </c>
    </row>
    <row r="3119" spans="1:6" ht="28.8" x14ac:dyDescent="0.3">
      <c r="A3119" s="2">
        <v>3118</v>
      </c>
      <c r="B3119" s="1" t="s">
        <v>6626</v>
      </c>
      <c r="C3119" s="1" t="s">
        <v>6591</v>
      </c>
      <c r="D3119" s="1" t="s">
        <v>6592</v>
      </c>
      <c r="E3119" s="1" t="s">
        <v>6627</v>
      </c>
      <c r="F3119" s="1" t="str">
        <f>HYPERLINK("https://talan.bank.gov.ua/get-user-certificate/J5325AVr9YoFR_DgXp0q","Завантажити сертифікат")</f>
        <v>Завантажити сертифікат</v>
      </c>
    </row>
    <row r="3120" spans="1:6" ht="28.8" x14ac:dyDescent="0.3">
      <c r="A3120" s="2">
        <v>3119</v>
      </c>
      <c r="B3120" s="1" t="s">
        <v>6628</v>
      </c>
      <c r="C3120" s="1" t="s">
        <v>6591</v>
      </c>
      <c r="D3120" s="1" t="s">
        <v>6592</v>
      </c>
      <c r="E3120" s="1" t="s">
        <v>6629</v>
      </c>
      <c r="F3120" s="1" t="str">
        <f>HYPERLINK("https://talan.bank.gov.ua/get-user-certificate/J5325ch83BcMiavSYgX3","Завантажити сертифікат")</f>
        <v>Завантажити сертифікат</v>
      </c>
    </row>
    <row r="3121" spans="1:6" ht="28.8" x14ac:dyDescent="0.3">
      <c r="A3121" s="2">
        <v>3120</v>
      </c>
      <c r="B3121" s="1" t="s">
        <v>6630</v>
      </c>
      <c r="C3121" s="1" t="s">
        <v>6591</v>
      </c>
      <c r="D3121" s="1" t="s">
        <v>6592</v>
      </c>
      <c r="E3121" s="1" t="s">
        <v>6631</v>
      </c>
      <c r="F3121" s="1" t="str">
        <f>HYPERLINK("https://talan.bank.gov.ua/get-user-certificate/J5325D3YzSf1oQfjyPqf","Завантажити сертифікат")</f>
        <v>Завантажити сертифікат</v>
      </c>
    </row>
    <row r="3122" spans="1:6" ht="28.8" x14ac:dyDescent="0.3">
      <c r="A3122" s="2">
        <v>3121</v>
      </c>
      <c r="B3122" s="1" t="s">
        <v>6632</v>
      </c>
      <c r="C3122" s="1" t="s">
        <v>6591</v>
      </c>
      <c r="D3122" s="1" t="s">
        <v>6592</v>
      </c>
      <c r="E3122" s="1" t="s">
        <v>6633</v>
      </c>
      <c r="F3122" s="1" t="str">
        <f>HYPERLINK("https://talan.bank.gov.ua/get-user-certificate/J5325fVq5RNeeaLppnoN","Завантажити сертифікат")</f>
        <v>Завантажити сертифікат</v>
      </c>
    </row>
    <row r="3123" spans="1:6" ht="28.8" x14ac:dyDescent="0.3">
      <c r="A3123" s="2">
        <v>3122</v>
      </c>
      <c r="B3123" s="1" t="s">
        <v>6634</v>
      </c>
      <c r="C3123" s="1" t="s">
        <v>6591</v>
      </c>
      <c r="D3123" s="1" t="s">
        <v>6592</v>
      </c>
      <c r="E3123" s="1" t="s">
        <v>6635</v>
      </c>
      <c r="F3123" s="1" t="str">
        <f>HYPERLINK("https://talan.bank.gov.ua/get-user-certificate/J5325IzNJ4jaJkDLdrVM","Завантажити сертифікат")</f>
        <v>Завантажити сертифікат</v>
      </c>
    </row>
    <row r="3124" spans="1:6" ht="28.8" x14ac:dyDescent="0.3">
      <c r="A3124" s="2">
        <v>3123</v>
      </c>
      <c r="B3124" s="1" t="s">
        <v>6636</v>
      </c>
      <c r="C3124" s="1" t="s">
        <v>6591</v>
      </c>
      <c r="D3124" s="1" t="s">
        <v>6592</v>
      </c>
      <c r="E3124" s="1" t="s">
        <v>6637</v>
      </c>
      <c r="F3124" s="1" t="str">
        <f>HYPERLINK("https://talan.bank.gov.ua/get-user-certificate/J5325aJ1YqJgJAAvm_30","Завантажити сертифікат")</f>
        <v>Завантажити сертифікат</v>
      </c>
    </row>
    <row r="3125" spans="1:6" ht="28.8" x14ac:dyDescent="0.3">
      <c r="A3125" s="2">
        <v>3124</v>
      </c>
      <c r="B3125" s="1" t="s">
        <v>6638</v>
      </c>
      <c r="C3125" s="1" t="s">
        <v>6591</v>
      </c>
      <c r="D3125" s="1" t="s">
        <v>6592</v>
      </c>
      <c r="E3125" s="1" t="s">
        <v>6639</v>
      </c>
      <c r="F3125" s="1" t="str">
        <f>HYPERLINK("https://talan.bank.gov.ua/get-user-certificate/J5325XujdYtO6ooqRlXl","Завантажити сертифікат")</f>
        <v>Завантажити сертифікат</v>
      </c>
    </row>
    <row r="3126" spans="1:6" ht="28.8" x14ac:dyDescent="0.3">
      <c r="A3126" s="2">
        <v>3125</v>
      </c>
      <c r="B3126" s="1" t="s">
        <v>6640</v>
      </c>
      <c r="C3126" s="1" t="s">
        <v>6591</v>
      </c>
      <c r="D3126" s="1" t="s">
        <v>6592</v>
      </c>
      <c r="E3126" s="1" t="s">
        <v>6641</v>
      </c>
      <c r="F3126" s="1" t="str">
        <f>HYPERLINK("https://talan.bank.gov.ua/get-user-certificate/J5325yCGD0t2Z3U_Shhw","Завантажити сертифікат")</f>
        <v>Завантажити сертифікат</v>
      </c>
    </row>
    <row r="3127" spans="1:6" ht="28.8" x14ac:dyDescent="0.3">
      <c r="A3127" s="2">
        <v>3126</v>
      </c>
      <c r="B3127" s="1" t="s">
        <v>6642</v>
      </c>
      <c r="C3127" s="1" t="s">
        <v>6591</v>
      </c>
      <c r="D3127" s="1" t="s">
        <v>6592</v>
      </c>
      <c r="E3127" s="1" t="s">
        <v>6643</v>
      </c>
      <c r="F3127" s="1" t="str">
        <f>HYPERLINK("https://talan.bank.gov.ua/get-user-certificate/J532562Ar7xtaTSnUee4","Завантажити сертифікат")</f>
        <v>Завантажити сертифікат</v>
      </c>
    </row>
    <row r="3128" spans="1:6" ht="28.8" x14ac:dyDescent="0.3">
      <c r="A3128" s="2">
        <v>3127</v>
      </c>
      <c r="B3128" s="1" t="s">
        <v>6644</v>
      </c>
      <c r="C3128" s="1" t="s">
        <v>6591</v>
      </c>
      <c r="D3128" s="1" t="s">
        <v>6592</v>
      </c>
      <c r="E3128" s="1" t="s">
        <v>6645</v>
      </c>
      <c r="F3128" s="1" t="str">
        <f>HYPERLINK("https://talan.bank.gov.ua/get-user-certificate/J5325aDptUOuUxHxe9c_","Завантажити сертифікат")</f>
        <v>Завантажити сертифікат</v>
      </c>
    </row>
    <row r="3129" spans="1:6" ht="28.8" x14ac:dyDescent="0.3">
      <c r="A3129" s="2">
        <v>3128</v>
      </c>
      <c r="B3129" s="1" t="s">
        <v>6646</v>
      </c>
      <c r="C3129" s="1" t="s">
        <v>6591</v>
      </c>
      <c r="D3129" s="1" t="s">
        <v>6592</v>
      </c>
      <c r="E3129" s="1" t="s">
        <v>6647</v>
      </c>
      <c r="F3129" s="1" t="str">
        <f>HYPERLINK("https://talan.bank.gov.ua/get-user-certificate/J5325i5cj3YBZ1mrCmxX","Завантажити сертифікат")</f>
        <v>Завантажити сертифікат</v>
      </c>
    </row>
    <row r="3130" spans="1:6" ht="28.8" x14ac:dyDescent="0.3">
      <c r="A3130" s="2">
        <v>3129</v>
      </c>
      <c r="B3130" s="1" t="s">
        <v>6648</v>
      </c>
      <c r="C3130" s="1" t="s">
        <v>6591</v>
      </c>
      <c r="D3130" s="1" t="s">
        <v>6592</v>
      </c>
      <c r="E3130" s="1" t="s">
        <v>6649</v>
      </c>
      <c r="F3130" s="1" t="str">
        <f>HYPERLINK("https://talan.bank.gov.ua/get-user-certificate/J5325QB9W-imflfF7Rhx","Завантажити сертифікат")</f>
        <v>Завантажити сертифікат</v>
      </c>
    </row>
    <row r="3131" spans="1:6" ht="28.8" x14ac:dyDescent="0.3">
      <c r="A3131" s="2">
        <v>3130</v>
      </c>
      <c r="B3131" s="1" t="s">
        <v>6650</v>
      </c>
      <c r="C3131" s="1" t="s">
        <v>6591</v>
      </c>
      <c r="D3131" s="1" t="s">
        <v>6592</v>
      </c>
      <c r="E3131" s="1" t="s">
        <v>6651</v>
      </c>
      <c r="F3131" s="1" t="str">
        <f>HYPERLINK("https://talan.bank.gov.ua/get-user-certificate/J5325QHEIERu02oftmPO","Завантажити сертифікат")</f>
        <v>Завантажити сертифікат</v>
      </c>
    </row>
    <row r="3132" spans="1:6" ht="28.8" x14ac:dyDescent="0.3">
      <c r="A3132" s="2">
        <v>3131</v>
      </c>
      <c r="B3132" s="1" t="s">
        <v>6652</v>
      </c>
      <c r="C3132" s="1" t="s">
        <v>6591</v>
      </c>
      <c r="D3132" s="1" t="s">
        <v>6592</v>
      </c>
      <c r="E3132" s="1" t="s">
        <v>6653</v>
      </c>
      <c r="F3132" s="1" t="str">
        <f>HYPERLINK("https://talan.bank.gov.ua/get-user-certificate/J5325yPRb-oKAvQGsmfZ","Завантажити сертифікат")</f>
        <v>Завантажити сертифікат</v>
      </c>
    </row>
    <row r="3133" spans="1:6" ht="28.8" x14ac:dyDescent="0.3">
      <c r="A3133" s="2">
        <v>3132</v>
      </c>
      <c r="B3133" s="1" t="s">
        <v>6654</v>
      </c>
      <c r="C3133" s="1" t="s">
        <v>6591</v>
      </c>
      <c r="D3133" s="1" t="s">
        <v>6592</v>
      </c>
      <c r="E3133" s="1" t="s">
        <v>6655</v>
      </c>
      <c r="F3133" s="1" t="str">
        <f>HYPERLINK("https://talan.bank.gov.ua/get-user-certificate/J5325JOulf3rPmV-ySbq","Завантажити сертифікат")</f>
        <v>Завантажити сертифікат</v>
      </c>
    </row>
    <row r="3134" spans="1:6" ht="28.8" x14ac:dyDescent="0.3">
      <c r="A3134" s="2">
        <v>3133</v>
      </c>
      <c r="B3134" s="1" t="s">
        <v>6656</v>
      </c>
      <c r="C3134" s="1" t="s">
        <v>6591</v>
      </c>
      <c r="D3134" s="1" t="s">
        <v>6592</v>
      </c>
      <c r="E3134" s="1" t="s">
        <v>6657</v>
      </c>
      <c r="F3134" s="1" t="str">
        <f>HYPERLINK("https://talan.bank.gov.ua/get-user-certificate/J5325tGeWgUN3fn3ICOm","Завантажити сертифікат")</f>
        <v>Завантажити сертифікат</v>
      </c>
    </row>
    <row r="3135" spans="1:6" ht="28.8" x14ac:dyDescent="0.3">
      <c r="A3135" s="2">
        <v>3134</v>
      </c>
      <c r="B3135" s="1" t="s">
        <v>6658</v>
      </c>
      <c r="C3135" s="1" t="s">
        <v>6591</v>
      </c>
      <c r="D3135" s="1" t="s">
        <v>6592</v>
      </c>
      <c r="E3135" s="1" t="s">
        <v>6659</v>
      </c>
      <c r="F3135" s="1" t="str">
        <f>HYPERLINK("https://talan.bank.gov.ua/get-user-certificate/J5325rizaWetbF1XWNcl","Завантажити сертифікат")</f>
        <v>Завантажити сертифікат</v>
      </c>
    </row>
    <row r="3136" spans="1:6" ht="28.8" x14ac:dyDescent="0.3">
      <c r="A3136" s="2">
        <v>3135</v>
      </c>
      <c r="B3136" s="1" t="s">
        <v>6660</v>
      </c>
      <c r="C3136" s="1" t="s">
        <v>6591</v>
      </c>
      <c r="D3136" s="1" t="s">
        <v>6592</v>
      </c>
      <c r="E3136" s="1" t="s">
        <v>6661</v>
      </c>
      <c r="F3136" s="1" t="str">
        <f>HYPERLINK("https://talan.bank.gov.ua/get-user-certificate/J5325v9CBMD8NgUuUG1Y","Завантажити сертифікат")</f>
        <v>Завантажити сертифікат</v>
      </c>
    </row>
    <row r="3137" spans="1:6" ht="28.8" x14ac:dyDescent="0.3">
      <c r="A3137" s="2">
        <v>3136</v>
      </c>
      <c r="B3137" s="1" t="s">
        <v>6662</v>
      </c>
      <c r="C3137" s="1" t="s">
        <v>6591</v>
      </c>
      <c r="D3137" s="1" t="s">
        <v>6592</v>
      </c>
      <c r="E3137" s="1" t="s">
        <v>6663</v>
      </c>
      <c r="F3137" s="1" t="str">
        <f>HYPERLINK("https://talan.bank.gov.ua/get-user-certificate/J5325tcHyCZR2-PtIyZJ","Завантажити сертифікат")</f>
        <v>Завантажити сертифікат</v>
      </c>
    </row>
    <row r="3138" spans="1:6" ht="28.8" x14ac:dyDescent="0.3">
      <c r="A3138" s="2">
        <v>3137</v>
      </c>
      <c r="B3138" s="1" t="s">
        <v>6664</v>
      </c>
      <c r="C3138" s="1" t="s">
        <v>6591</v>
      </c>
      <c r="D3138" s="1" t="s">
        <v>6592</v>
      </c>
      <c r="E3138" s="1" t="s">
        <v>6665</v>
      </c>
      <c r="F3138" s="1" t="str">
        <f>HYPERLINK("https://talan.bank.gov.ua/get-user-certificate/J53252YqTXZwC8YDMIw1","Завантажити сертифікат")</f>
        <v>Завантажити сертифікат</v>
      </c>
    </row>
    <row r="3139" spans="1:6" ht="28.8" x14ac:dyDescent="0.3">
      <c r="A3139" s="2">
        <v>3138</v>
      </c>
      <c r="B3139" s="1" t="s">
        <v>6666</v>
      </c>
      <c r="C3139" s="1" t="s">
        <v>6591</v>
      </c>
      <c r="D3139" s="1" t="s">
        <v>6592</v>
      </c>
      <c r="E3139" s="1" t="s">
        <v>6667</v>
      </c>
      <c r="F3139" s="1" t="str">
        <f>HYPERLINK("https://talan.bank.gov.ua/get-user-certificate/J53253gjXnnJ9PXG85Iu","Завантажити сертифікат")</f>
        <v>Завантажити сертифікат</v>
      </c>
    </row>
    <row r="3140" spans="1:6" ht="28.8" x14ac:dyDescent="0.3">
      <c r="A3140" s="2">
        <v>3139</v>
      </c>
      <c r="B3140" s="1" t="s">
        <v>6668</v>
      </c>
      <c r="C3140" s="1" t="s">
        <v>6591</v>
      </c>
      <c r="D3140" s="1" t="s">
        <v>6592</v>
      </c>
      <c r="E3140" s="1" t="s">
        <v>6669</v>
      </c>
      <c r="F3140" s="1" t="str">
        <f>HYPERLINK("https://talan.bank.gov.ua/get-user-certificate/J5325R6t4x6tY4ZhEQXb","Завантажити сертифікат")</f>
        <v>Завантажити сертифікат</v>
      </c>
    </row>
    <row r="3141" spans="1:6" ht="28.8" x14ac:dyDescent="0.3">
      <c r="A3141" s="2">
        <v>3140</v>
      </c>
      <c r="B3141" s="1" t="s">
        <v>6670</v>
      </c>
      <c r="C3141" s="1" t="s">
        <v>6591</v>
      </c>
      <c r="D3141" s="1" t="s">
        <v>6592</v>
      </c>
      <c r="E3141" s="1" t="s">
        <v>6671</v>
      </c>
      <c r="F3141" s="1" t="str">
        <f>HYPERLINK("https://talan.bank.gov.ua/get-user-certificate/J5325Huq-RHVI5-TfvEs","Завантажити сертифікат")</f>
        <v>Завантажити сертифікат</v>
      </c>
    </row>
    <row r="3142" spans="1:6" ht="28.8" x14ac:dyDescent="0.3">
      <c r="A3142" s="2">
        <v>3141</v>
      </c>
      <c r="B3142" s="1" t="s">
        <v>6672</v>
      </c>
      <c r="C3142" s="1" t="s">
        <v>6591</v>
      </c>
      <c r="D3142" s="1" t="s">
        <v>6592</v>
      </c>
      <c r="E3142" s="1" t="s">
        <v>6673</v>
      </c>
      <c r="F3142" s="1" t="str">
        <f>HYPERLINK("https://talan.bank.gov.ua/get-user-certificate/J5325QsFvrAFHkuRAdQu","Завантажити сертифікат")</f>
        <v>Завантажити сертифікат</v>
      </c>
    </row>
    <row r="3143" spans="1:6" ht="28.8" x14ac:dyDescent="0.3">
      <c r="A3143" s="2">
        <v>3142</v>
      </c>
      <c r="B3143" s="1" t="s">
        <v>6674</v>
      </c>
      <c r="C3143" s="1" t="s">
        <v>6591</v>
      </c>
      <c r="D3143" s="1" t="s">
        <v>6592</v>
      </c>
      <c r="E3143" s="1" t="s">
        <v>6675</v>
      </c>
      <c r="F3143" s="1" t="str">
        <f>HYPERLINK("https://talan.bank.gov.ua/get-user-certificate/J5325C68ZNHkQepXcFuL","Завантажити сертифікат")</f>
        <v>Завантажити сертифікат</v>
      </c>
    </row>
    <row r="3144" spans="1:6" ht="28.8" x14ac:dyDescent="0.3">
      <c r="A3144" s="2">
        <v>3143</v>
      </c>
      <c r="B3144" s="1" t="s">
        <v>6676</v>
      </c>
      <c r="C3144" s="1" t="s">
        <v>6591</v>
      </c>
      <c r="D3144" s="1" t="s">
        <v>6592</v>
      </c>
      <c r="E3144" s="1" t="s">
        <v>6677</v>
      </c>
      <c r="F3144" s="1" t="str">
        <f>HYPERLINK("https://talan.bank.gov.ua/get-user-certificate/J532552ou8hZQJeuOfUD","Завантажити сертифікат")</f>
        <v>Завантажити сертифікат</v>
      </c>
    </row>
    <row r="3145" spans="1:6" ht="28.8" x14ac:dyDescent="0.3">
      <c r="A3145" s="2">
        <v>3144</v>
      </c>
      <c r="B3145" s="1" t="s">
        <v>6678</v>
      </c>
      <c r="C3145" s="1" t="s">
        <v>6591</v>
      </c>
      <c r="D3145" s="1" t="s">
        <v>6592</v>
      </c>
      <c r="E3145" s="1" t="s">
        <v>6679</v>
      </c>
      <c r="F3145" s="1" t="str">
        <f>HYPERLINK("https://talan.bank.gov.ua/get-user-certificate/J5325iYXbrm6yCXo44zv","Завантажити сертифікат")</f>
        <v>Завантажити сертифікат</v>
      </c>
    </row>
    <row r="3146" spans="1:6" ht="28.8" x14ac:dyDescent="0.3">
      <c r="A3146" s="2">
        <v>3145</v>
      </c>
      <c r="B3146" s="1" t="s">
        <v>6680</v>
      </c>
      <c r="C3146" s="1" t="s">
        <v>6591</v>
      </c>
      <c r="D3146" s="1" t="s">
        <v>6592</v>
      </c>
      <c r="E3146" s="1" t="s">
        <v>6681</v>
      </c>
      <c r="F3146" s="1" t="str">
        <f>HYPERLINK("https://talan.bank.gov.ua/get-user-certificate/J5325y2ZmvpQHNpjNh86","Завантажити сертифікат")</f>
        <v>Завантажити сертифікат</v>
      </c>
    </row>
    <row r="3147" spans="1:6" ht="28.8" x14ac:dyDescent="0.3">
      <c r="A3147" s="2">
        <v>3146</v>
      </c>
      <c r="B3147" s="1" t="s">
        <v>6682</v>
      </c>
      <c r="C3147" s="1" t="s">
        <v>6591</v>
      </c>
      <c r="D3147" s="1" t="s">
        <v>6592</v>
      </c>
      <c r="E3147" s="1" t="s">
        <v>6683</v>
      </c>
      <c r="F3147" s="1" t="str">
        <f>HYPERLINK("https://talan.bank.gov.ua/get-user-certificate/J5325coBAbnhYQsV1ENU","Завантажити сертифікат")</f>
        <v>Завантажити сертифікат</v>
      </c>
    </row>
    <row r="3148" spans="1:6" ht="28.8" x14ac:dyDescent="0.3">
      <c r="A3148" s="2">
        <v>3147</v>
      </c>
      <c r="B3148" s="1" t="s">
        <v>6684</v>
      </c>
      <c r="C3148" s="1" t="s">
        <v>6591</v>
      </c>
      <c r="D3148" s="1" t="s">
        <v>6592</v>
      </c>
      <c r="E3148" s="1" t="s">
        <v>6685</v>
      </c>
      <c r="F3148" s="1" t="str">
        <f>HYPERLINK("https://talan.bank.gov.ua/get-user-certificate/J5325QtRKxqoEMw5jcc2","Завантажити сертифікат")</f>
        <v>Завантажити сертифікат</v>
      </c>
    </row>
    <row r="3149" spans="1:6" ht="28.8" x14ac:dyDescent="0.3">
      <c r="A3149" s="2">
        <v>3148</v>
      </c>
      <c r="B3149" s="1" t="s">
        <v>6686</v>
      </c>
      <c r="C3149" s="1" t="s">
        <v>6591</v>
      </c>
      <c r="D3149" s="1" t="s">
        <v>6592</v>
      </c>
      <c r="E3149" s="1" t="s">
        <v>6687</v>
      </c>
      <c r="F3149" s="1" t="str">
        <f>HYPERLINK("https://talan.bank.gov.ua/get-user-certificate/J5325kMb4-qi_6S9kEN-","Завантажити сертифікат")</f>
        <v>Завантажити сертифікат</v>
      </c>
    </row>
    <row r="3150" spans="1:6" ht="28.8" x14ac:dyDescent="0.3">
      <c r="A3150" s="2">
        <v>3149</v>
      </c>
      <c r="B3150" s="1" t="s">
        <v>6688</v>
      </c>
      <c r="C3150" s="1" t="s">
        <v>6591</v>
      </c>
      <c r="D3150" s="1" t="s">
        <v>6592</v>
      </c>
      <c r="E3150" s="1" t="s">
        <v>6689</v>
      </c>
      <c r="F3150" s="1" t="str">
        <f>HYPERLINK("https://talan.bank.gov.ua/get-user-certificate/J5325rlcLoXFeLGx4tXB","Завантажити сертифікат")</f>
        <v>Завантажити сертифікат</v>
      </c>
    </row>
    <row r="3151" spans="1:6" ht="28.8" x14ac:dyDescent="0.3">
      <c r="A3151" s="2">
        <v>3150</v>
      </c>
      <c r="B3151" s="1" t="s">
        <v>6690</v>
      </c>
      <c r="C3151" s="1" t="s">
        <v>6591</v>
      </c>
      <c r="D3151" s="1" t="s">
        <v>6592</v>
      </c>
      <c r="E3151" s="1" t="s">
        <v>6691</v>
      </c>
      <c r="F3151" s="1" t="str">
        <f>HYPERLINK("https://talan.bank.gov.ua/get-user-certificate/J5325EGZgPLJQ3D1oRQa","Завантажити сертифікат")</f>
        <v>Завантажити сертифікат</v>
      </c>
    </row>
    <row r="3152" spans="1:6" ht="28.8" x14ac:dyDescent="0.3">
      <c r="A3152" s="2">
        <v>3151</v>
      </c>
      <c r="B3152" s="1" t="s">
        <v>6692</v>
      </c>
      <c r="C3152" s="1" t="s">
        <v>6591</v>
      </c>
      <c r="D3152" s="1" t="s">
        <v>6592</v>
      </c>
      <c r="E3152" s="1" t="s">
        <v>6693</v>
      </c>
      <c r="F3152" s="1" t="str">
        <f>HYPERLINK("https://talan.bank.gov.ua/get-user-certificate/J5325tWt2f9wkygAwJNb","Завантажити сертифікат")</f>
        <v>Завантажити сертифікат</v>
      </c>
    </row>
    <row r="3153" spans="1:6" ht="28.8" x14ac:dyDescent="0.3">
      <c r="A3153" s="2">
        <v>3152</v>
      </c>
      <c r="B3153" s="1" t="s">
        <v>6694</v>
      </c>
      <c r="C3153" s="1" t="s">
        <v>6591</v>
      </c>
      <c r="D3153" s="1" t="s">
        <v>6592</v>
      </c>
      <c r="E3153" s="1" t="s">
        <v>6695</v>
      </c>
      <c r="F3153" s="1" t="str">
        <f>HYPERLINK("https://talan.bank.gov.ua/get-user-certificate/J5325F_FoBFHtFh0kwfq","Завантажити сертифікат")</f>
        <v>Завантажити сертифікат</v>
      </c>
    </row>
    <row r="3154" spans="1:6" ht="28.8" x14ac:dyDescent="0.3">
      <c r="A3154" s="2">
        <v>3153</v>
      </c>
      <c r="B3154" s="1" t="s">
        <v>6696</v>
      </c>
      <c r="C3154" s="1" t="s">
        <v>6591</v>
      </c>
      <c r="D3154" s="1" t="s">
        <v>6592</v>
      </c>
      <c r="E3154" s="1" t="s">
        <v>6697</v>
      </c>
      <c r="F3154" s="1" t="str">
        <f>HYPERLINK("https://talan.bank.gov.ua/get-user-certificate/J5325s2SE9PEbycgR5_J","Завантажити сертифікат")</f>
        <v>Завантажити сертифікат</v>
      </c>
    </row>
    <row r="3155" spans="1:6" ht="28.8" x14ac:dyDescent="0.3">
      <c r="A3155" s="2">
        <v>3154</v>
      </c>
      <c r="B3155" s="1" t="s">
        <v>6698</v>
      </c>
      <c r="C3155" s="1" t="s">
        <v>6591</v>
      </c>
      <c r="D3155" s="1" t="s">
        <v>6592</v>
      </c>
      <c r="E3155" s="1" t="s">
        <v>6699</v>
      </c>
      <c r="F3155" s="1" t="str">
        <f>HYPERLINK("https://talan.bank.gov.ua/get-user-certificate/J53256gcG_f8pDuHZLIi","Завантажити сертифікат")</f>
        <v>Завантажити сертифікат</v>
      </c>
    </row>
    <row r="3156" spans="1:6" ht="28.8" x14ac:dyDescent="0.3">
      <c r="A3156" s="2">
        <v>3155</v>
      </c>
      <c r="B3156" s="1" t="s">
        <v>6700</v>
      </c>
      <c r="C3156" s="1" t="s">
        <v>6591</v>
      </c>
      <c r="D3156" s="1" t="s">
        <v>6592</v>
      </c>
      <c r="E3156" s="1" t="s">
        <v>6701</v>
      </c>
      <c r="F3156" s="1" t="str">
        <f>HYPERLINK("https://talan.bank.gov.ua/get-user-certificate/J5325TCbrQp3-mUAxpYk","Завантажити сертифікат")</f>
        <v>Завантажити сертифікат</v>
      </c>
    </row>
    <row r="3157" spans="1:6" ht="28.8" x14ac:dyDescent="0.3">
      <c r="A3157" s="2">
        <v>3156</v>
      </c>
      <c r="B3157" s="1" t="s">
        <v>6702</v>
      </c>
      <c r="C3157" s="1" t="s">
        <v>6591</v>
      </c>
      <c r="D3157" s="1" t="s">
        <v>6592</v>
      </c>
      <c r="E3157" s="1" t="s">
        <v>6703</v>
      </c>
      <c r="F3157" s="1" t="str">
        <f>HYPERLINK("https://talan.bank.gov.ua/get-user-certificate/J5325HReWSh9GUKDvqmE","Завантажити сертифікат")</f>
        <v>Завантажити сертифікат</v>
      </c>
    </row>
    <row r="3158" spans="1:6" ht="28.8" x14ac:dyDescent="0.3">
      <c r="A3158" s="2">
        <v>3157</v>
      </c>
      <c r="B3158" s="1" t="s">
        <v>6704</v>
      </c>
      <c r="C3158" s="1" t="s">
        <v>6591</v>
      </c>
      <c r="D3158" s="1" t="s">
        <v>6592</v>
      </c>
      <c r="E3158" s="1" t="s">
        <v>6705</v>
      </c>
      <c r="F3158" s="1" t="str">
        <f>HYPERLINK("https://talan.bank.gov.ua/get-user-certificate/J5325768wUNpLdsK4VSu","Завантажити сертифікат")</f>
        <v>Завантажити сертифікат</v>
      </c>
    </row>
    <row r="3159" spans="1:6" ht="28.8" x14ac:dyDescent="0.3">
      <c r="A3159" s="2">
        <v>3158</v>
      </c>
      <c r="B3159" s="1" t="s">
        <v>6706</v>
      </c>
      <c r="C3159" s="1" t="s">
        <v>6591</v>
      </c>
      <c r="D3159" s="1" t="s">
        <v>6592</v>
      </c>
      <c r="E3159" s="1" t="s">
        <v>6707</v>
      </c>
      <c r="F3159" s="1" t="str">
        <f>HYPERLINK("https://talan.bank.gov.ua/get-user-certificate/J5325X3lW8ztZOxoh36o","Завантажити сертифікат")</f>
        <v>Завантажити сертифікат</v>
      </c>
    </row>
    <row r="3160" spans="1:6" ht="28.8" x14ac:dyDescent="0.3">
      <c r="A3160" s="2">
        <v>3159</v>
      </c>
      <c r="B3160" s="1" t="s">
        <v>6708</v>
      </c>
      <c r="C3160" s="1" t="s">
        <v>6591</v>
      </c>
      <c r="D3160" s="1" t="s">
        <v>6592</v>
      </c>
      <c r="E3160" s="1" t="s">
        <v>6709</v>
      </c>
      <c r="F3160" s="1" t="str">
        <f>HYPERLINK("https://talan.bank.gov.ua/get-user-certificate/J5325i_PYD3YaXvx5ks0","Завантажити сертифікат")</f>
        <v>Завантажити сертифікат</v>
      </c>
    </row>
    <row r="3161" spans="1:6" ht="28.8" x14ac:dyDescent="0.3">
      <c r="A3161" s="2">
        <v>3160</v>
      </c>
      <c r="B3161" s="1" t="s">
        <v>6710</v>
      </c>
      <c r="C3161" s="1" t="s">
        <v>6591</v>
      </c>
      <c r="D3161" s="1" t="s">
        <v>6592</v>
      </c>
      <c r="E3161" s="1" t="s">
        <v>6711</v>
      </c>
      <c r="F3161" s="1" t="str">
        <f>HYPERLINK("https://talan.bank.gov.ua/get-user-certificate/J5325P6B5ELeKsjViKCJ","Завантажити сертифікат")</f>
        <v>Завантажити сертифікат</v>
      </c>
    </row>
    <row r="3162" spans="1:6" ht="28.8" x14ac:dyDescent="0.3">
      <c r="A3162" s="2">
        <v>3161</v>
      </c>
      <c r="B3162" s="1" t="s">
        <v>6712</v>
      </c>
      <c r="C3162" s="1" t="s">
        <v>6591</v>
      </c>
      <c r="D3162" s="1" t="s">
        <v>6592</v>
      </c>
      <c r="E3162" s="1" t="s">
        <v>6713</v>
      </c>
      <c r="F3162" s="1" t="str">
        <f>HYPERLINK("https://talan.bank.gov.ua/get-user-certificate/J53258FdZqCCqpMtfwDp","Завантажити сертифікат")</f>
        <v>Завантажити сертифікат</v>
      </c>
    </row>
    <row r="3163" spans="1:6" ht="28.8" x14ac:dyDescent="0.3">
      <c r="A3163" s="2">
        <v>3162</v>
      </c>
      <c r="B3163" s="1" t="s">
        <v>6714</v>
      </c>
      <c r="C3163" s="1" t="s">
        <v>6591</v>
      </c>
      <c r="D3163" s="1" t="s">
        <v>6592</v>
      </c>
      <c r="E3163" s="1" t="s">
        <v>6715</v>
      </c>
      <c r="F3163" s="1" t="str">
        <f>HYPERLINK("https://talan.bank.gov.ua/get-user-certificate/J5325zUv4Ql5zkWnTNid","Завантажити сертифікат")</f>
        <v>Завантажити сертифікат</v>
      </c>
    </row>
    <row r="3164" spans="1:6" ht="28.8" x14ac:dyDescent="0.3">
      <c r="A3164" s="2">
        <v>3163</v>
      </c>
      <c r="B3164" s="1" t="s">
        <v>6716</v>
      </c>
      <c r="C3164" s="1" t="s">
        <v>6591</v>
      </c>
      <c r="D3164" s="1" t="s">
        <v>6592</v>
      </c>
      <c r="E3164" s="1" t="s">
        <v>6717</v>
      </c>
      <c r="F3164" s="1" t="str">
        <f>HYPERLINK("https://talan.bank.gov.ua/get-user-certificate/J5325Nynlo7cRZBJzeWJ","Завантажити сертифікат")</f>
        <v>Завантажити сертифікат</v>
      </c>
    </row>
    <row r="3165" spans="1:6" ht="28.8" x14ac:dyDescent="0.3">
      <c r="A3165" s="2">
        <v>3164</v>
      </c>
      <c r="B3165" s="1" t="s">
        <v>6718</v>
      </c>
      <c r="C3165" s="1" t="s">
        <v>6591</v>
      </c>
      <c r="D3165" s="1" t="s">
        <v>6592</v>
      </c>
      <c r="E3165" s="1" t="s">
        <v>6719</v>
      </c>
      <c r="F3165" s="1" t="str">
        <f>HYPERLINK("https://talan.bank.gov.ua/get-user-certificate/J5325Zn6ogSqcJPXQlhd","Завантажити сертифікат")</f>
        <v>Завантажити сертифікат</v>
      </c>
    </row>
    <row r="3166" spans="1:6" ht="28.8" x14ac:dyDescent="0.3">
      <c r="A3166" s="2">
        <v>3165</v>
      </c>
      <c r="B3166" s="1" t="s">
        <v>6720</v>
      </c>
      <c r="C3166" s="1" t="s">
        <v>6591</v>
      </c>
      <c r="D3166" s="1" t="s">
        <v>6592</v>
      </c>
      <c r="E3166" s="1" t="s">
        <v>6721</v>
      </c>
      <c r="F3166" s="1" t="str">
        <f>HYPERLINK("https://talan.bank.gov.ua/get-user-certificate/J53255Lt9CEg2dOf7OkQ","Завантажити сертифікат")</f>
        <v>Завантажити сертифікат</v>
      </c>
    </row>
    <row r="3167" spans="1:6" ht="28.8" x14ac:dyDescent="0.3">
      <c r="A3167" s="2">
        <v>3166</v>
      </c>
      <c r="B3167" s="1" t="s">
        <v>6722</v>
      </c>
      <c r="C3167" s="1" t="s">
        <v>6591</v>
      </c>
      <c r="D3167" s="1" t="s">
        <v>6592</v>
      </c>
      <c r="E3167" s="1" t="s">
        <v>6723</v>
      </c>
      <c r="F3167" s="1" t="str">
        <f>HYPERLINK("https://talan.bank.gov.ua/get-user-certificate/J5325WGyzuC7ZQ_OlhSv","Завантажити сертифікат")</f>
        <v>Завантажити сертифікат</v>
      </c>
    </row>
    <row r="3168" spans="1:6" ht="28.8" x14ac:dyDescent="0.3">
      <c r="A3168" s="2">
        <v>3167</v>
      </c>
      <c r="B3168" s="1" t="s">
        <v>6724</v>
      </c>
      <c r="C3168" s="1" t="s">
        <v>6591</v>
      </c>
      <c r="D3168" s="1" t="s">
        <v>6592</v>
      </c>
      <c r="E3168" s="1" t="s">
        <v>6725</v>
      </c>
      <c r="F3168" s="1" t="str">
        <f>HYPERLINK("https://talan.bank.gov.ua/get-user-certificate/J5325wEK9QJLgn65Yxqg","Завантажити сертифікат")</f>
        <v>Завантажити сертифікат</v>
      </c>
    </row>
    <row r="3169" spans="1:6" ht="28.8" x14ac:dyDescent="0.3">
      <c r="A3169" s="2">
        <v>3168</v>
      </c>
      <c r="B3169" s="1" t="s">
        <v>6726</v>
      </c>
      <c r="C3169" s="1" t="s">
        <v>6591</v>
      </c>
      <c r="D3169" s="1" t="s">
        <v>6592</v>
      </c>
      <c r="E3169" s="1" t="s">
        <v>6727</v>
      </c>
      <c r="F3169" s="1" t="str">
        <f>HYPERLINK("https://talan.bank.gov.ua/get-user-certificate/J5325Sm3x6u8zKtWQpdE","Завантажити сертифікат")</f>
        <v>Завантажити сертифікат</v>
      </c>
    </row>
    <row r="3170" spans="1:6" ht="28.8" x14ac:dyDescent="0.3">
      <c r="A3170" s="2">
        <v>3169</v>
      </c>
      <c r="B3170" s="1" t="s">
        <v>6728</v>
      </c>
      <c r="C3170" s="1" t="s">
        <v>6591</v>
      </c>
      <c r="D3170" s="1" t="s">
        <v>6592</v>
      </c>
      <c r="E3170" s="1" t="s">
        <v>6729</v>
      </c>
      <c r="F3170" s="1" t="str">
        <f>HYPERLINK("https://talan.bank.gov.ua/get-user-certificate/J5325C1aujxHBjmuegmO","Завантажити сертифікат")</f>
        <v>Завантажити сертифікат</v>
      </c>
    </row>
    <row r="3171" spans="1:6" ht="28.8" x14ac:dyDescent="0.3">
      <c r="A3171" s="2">
        <v>3170</v>
      </c>
      <c r="B3171" s="1" t="s">
        <v>6730</v>
      </c>
      <c r="C3171" s="1" t="s">
        <v>6591</v>
      </c>
      <c r="D3171" s="1" t="s">
        <v>6592</v>
      </c>
      <c r="E3171" s="1" t="s">
        <v>6731</v>
      </c>
      <c r="F3171" s="1" t="str">
        <f>HYPERLINK("https://talan.bank.gov.ua/get-user-certificate/J532557V5U_zcNfYliMj","Завантажити сертифікат")</f>
        <v>Завантажити сертифікат</v>
      </c>
    </row>
    <row r="3172" spans="1:6" ht="28.8" x14ac:dyDescent="0.3">
      <c r="A3172" s="2">
        <v>3171</v>
      </c>
      <c r="B3172" s="1" t="s">
        <v>6732</v>
      </c>
      <c r="C3172" s="1" t="s">
        <v>6591</v>
      </c>
      <c r="D3172" s="1" t="s">
        <v>6592</v>
      </c>
      <c r="E3172" s="1" t="s">
        <v>6733</v>
      </c>
      <c r="F3172" s="1" t="str">
        <f>HYPERLINK("https://talan.bank.gov.ua/get-user-certificate/J53258Bwo-xNRiHCD-Ek","Завантажити сертифікат")</f>
        <v>Завантажити сертифікат</v>
      </c>
    </row>
    <row r="3173" spans="1:6" ht="28.8" x14ac:dyDescent="0.3">
      <c r="A3173" s="2">
        <v>3172</v>
      </c>
      <c r="B3173" s="1" t="s">
        <v>6734</v>
      </c>
      <c r="C3173" s="1" t="s">
        <v>6591</v>
      </c>
      <c r="D3173" s="1" t="s">
        <v>6592</v>
      </c>
      <c r="E3173" s="1" t="s">
        <v>6735</v>
      </c>
      <c r="F3173" s="1" t="str">
        <f>HYPERLINK("https://talan.bank.gov.ua/get-user-certificate/J5325qac2GsYDYp1a3Nw","Завантажити сертифікат")</f>
        <v>Завантажити сертифікат</v>
      </c>
    </row>
    <row r="3174" spans="1:6" ht="28.8" x14ac:dyDescent="0.3">
      <c r="A3174" s="2">
        <v>3173</v>
      </c>
      <c r="B3174" s="1" t="s">
        <v>6736</v>
      </c>
      <c r="C3174" s="1" t="s">
        <v>6591</v>
      </c>
      <c r="D3174" s="1" t="s">
        <v>6592</v>
      </c>
      <c r="E3174" s="1" t="s">
        <v>6737</v>
      </c>
      <c r="F3174" s="1" t="str">
        <f>HYPERLINK("https://talan.bank.gov.ua/get-user-certificate/J5325HAKRu9O5737lai8","Завантажити сертифікат")</f>
        <v>Завантажити сертифікат</v>
      </c>
    </row>
    <row r="3175" spans="1:6" ht="28.8" x14ac:dyDescent="0.3">
      <c r="A3175" s="2">
        <v>3174</v>
      </c>
      <c r="B3175" s="1" t="s">
        <v>6738</v>
      </c>
      <c r="C3175" s="1" t="s">
        <v>6591</v>
      </c>
      <c r="D3175" s="1" t="s">
        <v>6592</v>
      </c>
      <c r="E3175" s="1" t="s">
        <v>6739</v>
      </c>
      <c r="F3175" s="1" t="str">
        <f>HYPERLINK("https://talan.bank.gov.ua/get-user-certificate/J5325Q3PsyaP-lh7-JRp","Завантажити сертифікат")</f>
        <v>Завантажити сертифікат</v>
      </c>
    </row>
    <row r="3176" spans="1:6" ht="28.8" x14ac:dyDescent="0.3">
      <c r="A3176" s="2">
        <v>3175</v>
      </c>
      <c r="B3176" s="1" t="s">
        <v>6740</v>
      </c>
      <c r="C3176" s="1" t="s">
        <v>6591</v>
      </c>
      <c r="D3176" s="1" t="s">
        <v>6592</v>
      </c>
      <c r="E3176" s="1" t="s">
        <v>6741</v>
      </c>
      <c r="F3176" s="1" t="str">
        <f>HYPERLINK("https://talan.bank.gov.ua/get-user-certificate/J5325rFPpfIp2xUUj6Y5","Завантажити сертифікат")</f>
        <v>Завантажити сертифікат</v>
      </c>
    </row>
    <row r="3177" spans="1:6" ht="28.8" x14ac:dyDescent="0.3">
      <c r="A3177" s="2">
        <v>3176</v>
      </c>
      <c r="B3177" s="1" t="s">
        <v>6742</v>
      </c>
      <c r="C3177" s="1" t="s">
        <v>6591</v>
      </c>
      <c r="D3177" s="1" t="s">
        <v>6592</v>
      </c>
      <c r="E3177" s="1" t="s">
        <v>6743</v>
      </c>
      <c r="F3177" s="1" t="str">
        <f>HYPERLINK("https://talan.bank.gov.ua/get-user-certificate/J5325hHraoWvJ435uEqE","Завантажити сертифікат")</f>
        <v>Завантажити сертифікат</v>
      </c>
    </row>
    <row r="3178" spans="1:6" ht="28.8" x14ac:dyDescent="0.3">
      <c r="A3178" s="2">
        <v>3177</v>
      </c>
      <c r="B3178" s="1" t="s">
        <v>6744</v>
      </c>
      <c r="C3178" s="1" t="s">
        <v>6591</v>
      </c>
      <c r="D3178" s="1" t="s">
        <v>6592</v>
      </c>
      <c r="E3178" s="1" t="s">
        <v>6745</v>
      </c>
      <c r="F3178" s="1" t="str">
        <f>HYPERLINK("https://talan.bank.gov.ua/get-user-certificate/J5325swb5KBBrL_u3ufJ","Завантажити сертифікат")</f>
        <v>Завантажити сертифікат</v>
      </c>
    </row>
    <row r="3179" spans="1:6" ht="28.8" x14ac:dyDescent="0.3">
      <c r="A3179" s="2">
        <v>3178</v>
      </c>
      <c r="B3179" s="1" t="s">
        <v>6746</v>
      </c>
      <c r="C3179" s="1" t="s">
        <v>6591</v>
      </c>
      <c r="D3179" s="1" t="s">
        <v>6592</v>
      </c>
      <c r="E3179" s="1" t="s">
        <v>6747</v>
      </c>
      <c r="F3179" s="1" t="str">
        <f>HYPERLINK("https://talan.bank.gov.ua/get-user-certificate/J5325XTolOOG2AK5Volz","Завантажити сертифікат")</f>
        <v>Завантажити сертифікат</v>
      </c>
    </row>
    <row r="3180" spans="1:6" ht="28.8" x14ac:dyDescent="0.3">
      <c r="A3180" s="2">
        <v>3179</v>
      </c>
      <c r="B3180" s="1" t="s">
        <v>6748</v>
      </c>
      <c r="C3180" s="1" t="s">
        <v>6591</v>
      </c>
      <c r="D3180" s="1" t="s">
        <v>6592</v>
      </c>
      <c r="E3180" s="1" t="s">
        <v>6749</v>
      </c>
      <c r="F3180" s="1" t="str">
        <f>HYPERLINK("https://talan.bank.gov.ua/get-user-certificate/J5325fTNBxYmvbwDRJvQ","Завантажити сертифікат")</f>
        <v>Завантажити сертифікат</v>
      </c>
    </row>
    <row r="3181" spans="1:6" ht="28.8" x14ac:dyDescent="0.3">
      <c r="A3181" s="2">
        <v>3180</v>
      </c>
      <c r="B3181" s="1" t="s">
        <v>6750</v>
      </c>
      <c r="C3181" s="1" t="s">
        <v>6591</v>
      </c>
      <c r="D3181" s="1" t="s">
        <v>6592</v>
      </c>
      <c r="E3181" s="1" t="s">
        <v>6751</v>
      </c>
      <c r="F3181" s="1" t="str">
        <f>HYPERLINK("https://talan.bank.gov.ua/get-user-certificate/J5325ETVTstDttgDXg5A","Завантажити сертифікат")</f>
        <v>Завантажити сертифікат</v>
      </c>
    </row>
    <row r="3182" spans="1:6" ht="28.8" x14ac:dyDescent="0.3">
      <c r="A3182" s="2">
        <v>3181</v>
      </c>
      <c r="B3182" s="1" t="s">
        <v>6752</v>
      </c>
      <c r="C3182" s="1" t="s">
        <v>6591</v>
      </c>
      <c r="D3182" s="1" t="s">
        <v>6592</v>
      </c>
      <c r="E3182" s="1" t="s">
        <v>6753</v>
      </c>
      <c r="F3182" s="1" t="str">
        <f>HYPERLINK("https://talan.bank.gov.ua/get-user-certificate/J5325yFqdH7HtzNTB6Cs","Завантажити сертифікат")</f>
        <v>Завантажити сертифікат</v>
      </c>
    </row>
    <row r="3183" spans="1:6" ht="28.8" x14ac:dyDescent="0.3">
      <c r="A3183" s="2">
        <v>3182</v>
      </c>
      <c r="B3183" s="1" t="s">
        <v>6754</v>
      </c>
      <c r="C3183" s="1" t="s">
        <v>6591</v>
      </c>
      <c r="D3183" s="1" t="s">
        <v>6592</v>
      </c>
      <c r="E3183" s="1" t="s">
        <v>6755</v>
      </c>
      <c r="F3183" s="1" t="str">
        <f>HYPERLINK("https://talan.bank.gov.ua/get-user-certificate/J5325SbHhSbYi0WbrZcO","Завантажити сертифікат")</f>
        <v>Завантажити сертифікат</v>
      </c>
    </row>
    <row r="3184" spans="1:6" ht="28.8" x14ac:dyDescent="0.3">
      <c r="A3184" s="2">
        <v>3183</v>
      </c>
      <c r="B3184" s="1" t="s">
        <v>6756</v>
      </c>
      <c r="C3184" s="1" t="s">
        <v>6591</v>
      </c>
      <c r="D3184" s="1" t="s">
        <v>6592</v>
      </c>
      <c r="E3184" s="1" t="s">
        <v>6757</v>
      </c>
      <c r="F3184" s="1" t="str">
        <f>HYPERLINK("https://talan.bank.gov.ua/get-user-certificate/J53258fwHZvJnVNDYO57","Завантажити сертифікат")</f>
        <v>Завантажити сертифікат</v>
      </c>
    </row>
    <row r="3185" spans="1:6" ht="28.8" x14ac:dyDescent="0.3">
      <c r="A3185" s="2">
        <v>3184</v>
      </c>
      <c r="B3185" s="1" t="s">
        <v>6758</v>
      </c>
      <c r="C3185" s="1" t="s">
        <v>6591</v>
      </c>
      <c r="D3185" s="1" t="s">
        <v>6592</v>
      </c>
      <c r="E3185" s="1" t="s">
        <v>6759</v>
      </c>
      <c r="F3185" s="1" t="str">
        <f>HYPERLINK("https://talan.bank.gov.ua/get-user-certificate/J5325LTYUA_R_XYDMPCw","Завантажити сертифікат")</f>
        <v>Завантажити сертифікат</v>
      </c>
    </row>
    <row r="3186" spans="1:6" ht="28.8" x14ac:dyDescent="0.3">
      <c r="A3186" s="2">
        <v>3185</v>
      </c>
      <c r="B3186" s="1" t="s">
        <v>6760</v>
      </c>
      <c r="C3186" s="1" t="s">
        <v>6591</v>
      </c>
      <c r="D3186" s="1" t="s">
        <v>6592</v>
      </c>
      <c r="E3186" s="1" t="s">
        <v>6761</v>
      </c>
      <c r="F3186" s="1" t="str">
        <f>HYPERLINK("https://talan.bank.gov.ua/get-user-certificate/J5325_m7fn9N54JdmG5p","Завантажити сертифікат")</f>
        <v>Завантажити сертифікат</v>
      </c>
    </row>
    <row r="3187" spans="1:6" ht="28.8" x14ac:dyDescent="0.3">
      <c r="A3187" s="2">
        <v>3186</v>
      </c>
      <c r="B3187" s="1" t="s">
        <v>6762</v>
      </c>
      <c r="C3187" s="1" t="s">
        <v>6591</v>
      </c>
      <c r="D3187" s="1" t="s">
        <v>6592</v>
      </c>
      <c r="E3187" s="1" t="s">
        <v>6763</v>
      </c>
      <c r="F3187" s="1" t="str">
        <f>HYPERLINK("https://talan.bank.gov.ua/get-user-certificate/J5325Uj3IVUh2rxg5bhi","Завантажити сертифікат")</f>
        <v>Завантажити сертифікат</v>
      </c>
    </row>
    <row r="3188" spans="1:6" ht="28.8" x14ac:dyDescent="0.3">
      <c r="A3188" s="2">
        <v>3187</v>
      </c>
      <c r="B3188" s="1" t="s">
        <v>6764</v>
      </c>
      <c r="C3188" s="1" t="s">
        <v>6591</v>
      </c>
      <c r="D3188" s="1" t="s">
        <v>6592</v>
      </c>
      <c r="E3188" s="1" t="s">
        <v>6765</v>
      </c>
      <c r="F3188" s="1" t="str">
        <f>HYPERLINK("https://talan.bank.gov.ua/get-user-certificate/J53259yxTF4Q-QBTr6uK","Завантажити сертифікат")</f>
        <v>Завантажити сертифікат</v>
      </c>
    </row>
    <row r="3189" spans="1:6" ht="28.8" x14ac:dyDescent="0.3">
      <c r="A3189" s="2">
        <v>3188</v>
      </c>
      <c r="B3189" s="1" t="s">
        <v>6766</v>
      </c>
      <c r="C3189" s="1" t="s">
        <v>6591</v>
      </c>
      <c r="D3189" s="1" t="s">
        <v>6592</v>
      </c>
      <c r="E3189" s="1" t="s">
        <v>6767</v>
      </c>
      <c r="F3189" s="1" t="str">
        <f>HYPERLINK("https://talan.bank.gov.ua/get-user-certificate/J5325PXZY0H9cA4Gm4cx","Завантажити сертифікат")</f>
        <v>Завантажити сертифікат</v>
      </c>
    </row>
    <row r="3190" spans="1:6" ht="28.8" x14ac:dyDescent="0.3">
      <c r="A3190" s="2">
        <v>3189</v>
      </c>
      <c r="B3190" s="1" t="s">
        <v>6768</v>
      </c>
      <c r="C3190" s="1" t="s">
        <v>6591</v>
      </c>
      <c r="D3190" s="1" t="s">
        <v>6592</v>
      </c>
      <c r="E3190" s="1" t="s">
        <v>6769</v>
      </c>
      <c r="F3190" s="1" t="str">
        <f>HYPERLINK("https://talan.bank.gov.ua/get-user-certificate/J5325qvZUUO7Ydey4I5W","Завантажити сертифікат")</f>
        <v>Завантажити сертифікат</v>
      </c>
    </row>
    <row r="3191" spans="1:6" ht="28.8" x14ac:dyDescent="0.3">
      <c r="A3191" s="2">
        <v>3190</v>
      </c>
      <c r="B3191" s="1" t="s">
        <v>6770</v>
      </c>
      <c r="C3191" s="1" t="s">
        <v>6591</v>
      </c>
      <c r="D3191" s="1" t="s">
        <v>6592</v>
      </c>
      <c r="E3191" s="1" t="s">
        <v>6771</v>
      </c>
      <c r="F3191" s="1" t="str">
        <f>HYPERLINK("https://talan.bank.gov.ua/get-user-certificate/J5325ODXASeH7_IDyTMm","Завантажити сертифікат")</f>
        <v>Завантажити сертифікат</v>
      </c>
    </row>
    <row r="3192" spans="1:6" ht="28.8" x14ac:dyDescent="0.3">
      <c r="A3192" s="2">
        <v>3191</v>
      </c>
      <c r="B3192" s="1" t="s">
        <v>6772</v>
      </c>
      <c r="C3192" s="1" t="s">
        <v>6591</v>
      </c>
      <c r="D3192" s="1" t="s">
        <v>6592</v>
      </c>
      <c r="E3192" s="1" t="s">
        <v>6773</v>
      </c>
      <c r="F3192" s="1" t="str">
        <f>HYPERLINK("https://talan.bank.gov.ua/get-user-certificate/J5325PUOFXcAiyA0X3Oa","Завантажити сертифікат")</f>
        <v>Завантажити сертифікат</v>
      </c>
    </row>
    <row r="3193" spans="1:6" ht="28.8" x14ac:dyDescent="0.3">
      <c r="A3193" s="2">
        <v>3192</v>
      </c>
      <c r="B3193" s="1" t="s">
        <v>6774</v>
      </c>
      <c r="C3193" s="1" t="s">
        <v>6591</v>
      </c>
      <c r="D3193" s="1" t="s">
        <v>6592</v>
      </c>
      <c r="E3193" s="1" t="s">
        <v>6775</v>
      </c>
      <c r="F3193" s="1" t="str">
        <f>HYPERLINK("https://talan.bank.gov.ua/get-user-certificate/J5325rmnIJCR4kGVQCCh","Завантажити сертифікат")</f>
        <v>Завантажити сертифікат</v>
      </c>
    </row>
    <row r="3194" spans="1:6" ht="28.8" x14ac:dyDescent="0.3">
      <c r="A3194" s="2">
        <v>3193</v>
      </c>
      <c r="B3194" s="1" t="s">
        <v>6776</v>
      </c>
      <c r="C3194" s="1" t="s">
        <v>6591</v>
      </c>
      <c r="D3194" s="1" t="s">
        <v>6592</v>
      </c>
      <c r="E3194" s="1" t="s">
        <v>6777</v>
      </c>
      <c r="F3194" s="1" t="str">
        <f>HYPERLINK("https://talan.bank.gov.ua/get-user-certificate/J5325ydHAVHDDU4V7DNz","Завантажити сертифікат")</f>
        <v>Завантажити сертифікат</v>
      </c>
    </row>
    <row r="3195" spans="1:6" ht="28.8" x14ac:dyDescent="0.3">
      <c r="A3195" s="2">
        <v>3194</v>
      </c>
      <c r="B3195" s="1" t="s">
        <v>6778</v>
      </c>
      <c r="C3195" s="1" t="s">
        <v>6591</v>
      </c>
      <c r="D3195" s="1" t="s">
        <v>6592</v>
      </c>
      <c r="E3195" s="1" t="s">
        <v>6779</v>
      </c>
      <c r="F3195" s="1" t="str">
        <f>HYPERLINK("https://talan.bank.gov.ua/get-user-certificate/J53259tMNLGVjxoXrhzk","Завантажити сертифікат")</f>
        <v>Завантажити сертифікат</v>
      </c>
    </row>
    <row r="3196" spans="1:6" ht="28.8" x14ac:dyDescent="0.3">
      <c r="A3196" s="2">
        <v>3195</v>
      </c>
      <c r="B3196" s="1" t="s">
        <v>6780</v>
      </c>
      <c r="C3196" s="1" t="s">
        <v>6591</v>
      </c>
      <c r="D3196" s="1" t="s">
        <v>6592</v>
      </c>
      <c r="E3196" s="1" t="s">
        <v>6781</v>
      </c>
      <c r="F3196" s="1" t="str">
        <f>HYPERLINK("https://talan.bank.gov.ua/get-user-certificate/J5325WdtkYYhkb3UhyqH","Завантажити сертифікат")</f>
        <v>Завантажити сертифікат</v>
      </c>
    </row>
    <row r="3197" spans="1:6" ht="28.8" x14ac:dyDescent="0.3">
      <c r="A3197" s="2">
        <v>3196</v>
      </c>
      <c r="B3197" s="1" t="s">
        <v>6782</v>
      </c>
      <c r="C3197" s="1" t="s">
        <v>6591</v>
      </c>
      <c r="D3197" s="1" t="s">
        <v>6592</v>
      </c>
      <c r="E3197" s="1" t="s">
        <v>6783</v>
      </c>
      <c r="F3197" s="1" t="str">
        <f>HYPERLINK("https://talan.bank.gov.ua/get-user-certificate/J5325H6-8qMX0X-ZwRPW","Завантажити сертифікат")</f>
        <v>Завантажити сертифікат</v>
      </c>
    </row>
    <row r="3198" spans="1:6" ht="28.8" x14ac:dyDescent="0.3">
      <c r="A3198" s="2">
        <v>3197</v>
      </c>
      <c r="B3198" s="1" t="s">
        <v>6784</v>
      </c>
      <c r="C3198" s="1" t="s">
        <v>6591</v>
      </c>
      <c r="D3198" s="1" t="s">
        <v>6592</v>
      </c>
      <c r="E3198" s="1" t="s">
        <v>6785</v>
      </c>
      <c r="F3198" s="1" t="str">
        <f>HYPERLINK("https://talan.bank.gov.ua/get-user-certificate/J5325YsLs-gHGswq55qj","Завантажити сертифікат")</f>
        <v>Завантажити сертифікат</v>
      </c>
    </row>
    <row r="3199" spans="1:6" ht="28.8" x14ac:dyDescent="0.3">
      <c r="A3199" s="2">
        <v>3198</v>
      </c>
      <c r="B3199" s="1" t="s">
        <v>6786</v>
      </c>
      <c r="C3199" s="1" t="s">
        <v>6591</v>
      </c>
      <c r="D3199" s="1" t="s">
        <v>6592</v>
      </c>
      <c r="E3199" s="1" t="s">
        <v>6787</v>
      </c>
      <c r="F3199" s="1" t="str">
        <f>HYPERLINK("https://talan.bank.gov.ua/get-user-certificate/J5325WYhRE0a8kRPOSwk","Завантажити сертифікат")</f>
        <v>Завантажити сертифікат</v>
      </c>
    </row>
    <row r="3200" spans="1:6" ht="28.8" x14ac:dyDescent="0.3">
      <c r="A3200" s="2">
        <v>3199</v>
      </c>
      <c r="B3200" s="1" t="s">
        <v>6788</v>
      </c>
      <c r="C3200" s="1" t="s">
        <v>6591</v>
      </c>
      <c r="D3200" s="1" t="s">
        <v>6592</v>
      </c>
      <c r="E3200" s="1" t="s">
        <v>6789</v>
      </c>
      <c r="F3200" s="1" t="str">
        <f>HYPERLINK("https://talan.bank.gov.ua/get-user-certificate/J5325m-w8NPW7eOuAFaf","Завантажити сертифікат")</f>
        <v>Завантажити сертифікат</v>
      </c>
    </row>
    <row r="3201" spans="1:6" ht="28.8" x14ac:dyDescent="0.3">
      <c r="A3201" s="2">
        <v>3200</v>
      </c>
      <c r="B3201" s="1" t="s">
        <v>6790</v>
      </c>
      <c r="C3201" s="1" t="s">
        <v>6591</v>
      </c>
      <c r="D3201" s="1" t="s">
        <v>6592</v>
      </c>
      <c r="E3201" s="1" t="s">
        <v>6791</v>
      </c>
      <c r="F3201" s="1" t="str">
        <f>HYPERLINK("https://talan.bank.gov.ua/get-user-certificate/J5325cupUtYii63-LKoB","Завантажити сертифікат")</f>
        <v>Завантажити сертифікат</v>
      </c>
    </row>
    <row r="3202" spans="1:6" ht="28.8" x14ac:dyDescent="0.3">
      <c r="A3202" s="2">
        <v>3201</v>
      </c>
      <c r="B3202" s="1" t="s">
        <v>6792</v>
      </c>
      <c r="C3202" s="1" t="s">
        <v>6591</v>
      </c>
      <c r="D3202" s="1" t="s">
        <v>6592</v>
      </c>
      <c r="E3202" s="1" t="s">
        <v>6793</v>
      </c>
      <c r="F3202" s="1" t="str">
        <f>HYPERLINK("https://talan.bank.gov.ua/get-user-certificate/J5325ReZGZt2djdnDhia","Завантажити сертифікат")</f>
        <v>Завантажити сертифікат</v>
      </c>
    </row>
    <row r="3203" spans="1:6" ht="28.8" x14ac:dyDescent="0.3">
      <c r="A3203" s="2">
        <v>3202</v>
      </c>
      <c r="B3203" s="1" t="s">
        <v>6794</v>
      </c>
      <c r="C3203" s="1" t="s">
        <v>6591</v>
      </c>
      <c r="D3203" s="1" t="s">
        <v>6592</v>
      </c>
      <c r="E3203" s="1" t="s">
        <v>6795</v>
      </c>
      <c r="F3203" s="1" t="str">
        <f>HYPERLINK("https://talan.bank.gov.ua/get-user-certificate/J5325W27uK-Dh5NIo7O3","Завантажити сертифікат")</f>
        <v>Завантажити сертифікат</v>
      </c>
    </row>
    <row r="3204" spans="1:6" ht="28.8" x14ac:dyDescent="0.3">
      <c r="A3204" s="2">
        <v>3203</v>
      </c>
      <c r="B3204" s="1" t="s">
        <v>6796</v>
      </c>
      <c r="C3204" s="1" t="s">
        <v>6591</v>
      </c>
      <c r="D3204" s="1" t="s">
        <v>6592</v>
      </c>
      <c r="E3204" s="1" t="s">
        <v>6797</v>
      </c>
      <c r="F3204" s="1" t="str">
        <f>HYPERLINK("https://talan.bank.gov.ua/get-user-certificate/J5325-A1zWTq5Qq-Q0b_","Завантажити сертифікат")</f>
        <v>Завантажити сертифікат</v>
      </c>
    </row>
    <row r="3205" spans="1:6" ht="28.8" x14ac:dyDescent="0.3">
      <c r="A3205" s="2">
        <v>3204</v>
      </c>
      <c r="B3205" s="1" t="s">
        <v>6798</v>
      </c>
      <c r="C3205" s="1" t="s">
        <v>6591</v>
      </c>
      <c r="D3205" s="1" t="s">
        <v>6592</v>
      </c>
      <c r="E3205" s="1" t="s">
        <v>6799</v>
      </c>
      <c r="F3205" s="1" t="str">
        <f>HYPERLINK("https://talan.bank.gov.ua/get-user-certificate/J5325y6NVahEsBLrPFQU","Завантажити сертифікат")</f>
        <v>Завантажити сертифікат</v>
      </c>
    </row>
    <row r="3206" spans="1:6" ht="28.8" x14ac:dyDescent="0.3">
      <c r="A3206" s="2">
        <v>3205</v>
      </c>
      <c r="B3206" s="1" t="s">
        <v>6800</v>
      </c>
      <c r="C3206" s="1" t="s">
        <v>6591</v>
      </c>
      <c r="D3206" s="1" t="s">
        <v>6592</v>
      </c>
      <c r="E3206" s="1" t="s">
        <v>6801</v>
      </c>
      <c r="F3206" s="1" t="str">
        <f>HYPERLINK("https://talan.bank.gov.ua/get-user-certificate/J53250GHMLQs_qctV018","Завантажити сертифікат")</f>
        <v>Завантажити сертифікат</v>
      </c>
    </row>
    <row r="3207" spans="1:6" ht="28.8" x14ac:dyDescent="0.3">
      <c r="A3207" s="2">
        <v>3206</v>
      </c>
      <c r="B3207" s="1" t="s">
        <v>6802</v>
      </c>
      <c r="C3207" s="1" t="s">
        <v>6591</v>
      </c>
      <c r="D3207" s="1" t="s">
        <v>6592</v>
      </c>
      <c r="E3207" s="1" t="s">
        <v>6803</v>
      </c>
      <c r="F3207" s="1" t="str">
        <f>HYPERLINK("https://talan.bank.gov.ua/get-user-certificate/J5325A2Riq4j1niyAJEX","Завантажити сертифікат")</f>
        <v>Завантажити сертифікат</v>
      </c>
    </row>
    <row r="3208" spans="1:6" ht="28.8" x14ac:dyDescent="0.3">
      <c r="A3208" s="2">
        <v>3207</v>
      </c>
      <c r="B3208" s="1" t="s">
        <v>6804</v>
      </c>
      <c r="C3208" s="1" t="s">
        <v>6591</v>
      </c>
      <c r="D3208" s="1" t="s">
        <v>6592</v>
      </c>
      <c r="E3208" s="1" t="s">
        <v>6805</v>
      </c>
      <c r="F3208" s="1" t="str">
        <f>HYPERLINK("https://talan.bank.gov.ua/get-user-certificate/J5325Qn6QqLMPN46TSlr","Завантажити сертифікат")</f>
        <v>Завантажити сертифікат</v>
      </c>
    </row>
    <row r="3209" spans="1:6" ht="28.8" x14ac:dyDescent="0.3">
      <c r="A3209" s="2">
        <v>3208</v>
      </c>
      <c r="B3209" s="1" t="s">
        <v>6806</v>
      </c>
      <c r="C3209" s="1" t="s">
        <v>6591</v>
      </c>
      <c r="D3209" s="1" t="s">
        <v>6592</v>
      </c>
      <c r="E3209" s="1" t="s">
        <v>6807</v>
      </c>
      <c r="F3209" s="1" t="str">
        <f>HYPERLINK("https://talan.bank.gov.ua/get-user-certificate/J53252t8GbfnlWXz9xN6","Завантажити сертифікат")</f>
        <v>Завантажити сертифікат</v>
      </c>
    </row>
    <row r="3210" spans="1:6" ht="28.8" x14ac:dyDescent="0.3">
      <c r="A3210" s="2">
        <v>3209</v>
      </c>
      <c r="B3210" s="1" t="s">
        <v>6808</v>
      </c>
      <c r="C3210" s="1" t="s">
        <v>6591</v>
      </c>
      <c r="D3210" s="1" t="s">
        <v>6592</v>
      </c>
      <c r="E3210" s="1" t="s">
        <v>6809</v>
      </c>
      <c r="F3210" s="1" t="str">
        <f>HYPERLINK("https://talan.bank.gov.ua/get-user-certificate/J5325dhhp9KeK8mZRILW","Завантажити сертифікат")</f>
        <v>Завантажити сертифікат</v>
      </c>
    </row>
    <row r="3211" spans="1:6" ht="28.8" x14ac:dyDescent="0.3">
      <c r="A3211" s="2">
        <v>3210</v>
      </c>
      <c r="B3211" s="1" t="s">
        <v>6810</v>
      </c>
      <c r="C3211" s="1" t="s">
        <v>6591</v>
      </c>
      <c r="D3211" s="1" t="s">
        <v>6592</v>
      </c>
      <c r="E3211" s="1" t="s">
        <v>6811</v>
      </c>
      <c r="F3211" s="1" t="str">
        <f>HYPERLINK("https://talan.bank.gov.ua/get-user-certificate/J532521dbCcaDo45AhFD","Завантажити сертифікат")</f>
        <v>Завантажити сертифікат</v>
      </c>
    </row>
    <row r="3212" spans="1:6" ht="28.8" x14ac:dyDescent="0.3">
      <c r="A3212" s="2">
        <v>3211</v>
      </c>
      <c r="B3212" s="1" t="s">
        <v>6812</v>
      </c>
      <c r="C3212" s="1" t="s">
        <v>6591</v>
      </c>
      <c r="D3212" s="1" t="s">
        <v>6592</v>
      </c>
      <c r="E3212" s="1" t="s">
        <v>6813</v>
      </c>
      <c r="F3212" s="1" t="str">
        <f>HYPERLINK("https://talan.bank.gov.ua/get-user-certificate/J5325FU78p7cCkNzT-nV","Завантажити сертифікат")</f>
        <v>Завантажити сертифікат</v>
      </c>
    </row>
    <row r="3213" spans="1:6" ht="28.8" x14ac:dyDescent="0.3">
      <c r="A3213" s="2">
        <v>3212</v>
      </c>
      <c r="B3213" s="1" t="s">
        <v>6814</v>
      </c>
      <c r="C3213" s="1" t="s">
        <v>6591</v>
      </c>
      <c r="D3213" s="1" t="s">
        <v>6592</v>
      </c>
      <c r="E3213" s="1" t="s">
        <v>6815</v>
      </c>
      <c r="F3213" s="1" t="str">
        <f>HYPERLINK("https://talan.bank.gov.ua/get-user-certificate/J5325rjFQCQ215dJ11P8","Завантажити сертифікат")</f>
        <v>Завантажити сертифікат</v>
      </c>
    </row>
    <row r="3214" spans="1:6" ht="28.8" x14ac:dyDescent="0.3">
      <c r="A3214" s="2">
        <v>3213</v>
      </c>
      <c r="B3214" s="1" t="s">
        <v>6816</v>
      </c>
      <c r="C3214" s="1" t="s">
        <v>6591</v>
      </c>
      <c r="D3214" s="1" t="s">
        <v>6592</v>
      </c>
      <c r="E3214" s="1" t="s">
        <v>6817</v>
      </c>
      <c r="F3214" s="1" t="str">
        <f>HYPERLINK("https://talan.bank.gov.ua/get-user-certificate/J5325zB8Lq3ewjUvtEmA","Завантажити сертифікат")</f>
        <v>Завантажити сертифікат</v>
      </c>
    </row>
    <row r="3215" spans="1:6" ht="28.8" x14ac:dyDescent="0.3">
      <c r="A3215" s="2">
        <v>3214</v>
      </c>
      <c r="B3215" s="1" t="s">
        <v>6818</v>
      </c>
      <c r="C3215" s="1" t="s">
        <v>6591</v>
      </c>
      <c r="D3215" s="1" t="s">
        <v>6592</v>
      </c>
      <c r="E3215" s="1" t="s">
        <v>6819</v>
      </c>
      <c r="F3215" s="1" t="str">
        <f>HYPERLINK("https://talan.bank.gov.ua/get-user-certificate/J532553XNSXgh-9FLWhF","Завантажити сертифікат")</f>
        <v>Завантажити сертифікат</v>
      </c>
    </row>
    <row r="3216" spans="1:6" ht="28.8" x14ac:dyDescent="0.3">
      <c r="A3216" s="2">
        <v>3215</v>
      </c>
      <c r="B3216" s="1" t="s">
        <v>6820</v>
      </c>
      <c r="C3216" s="1" t="s">
        <v>6591</v>
      </c>
      <c r="D3216" s="1" t="s">
        <v>6592</v>
      </c>
      <c r="E3216" s="1" t="s">
        <v>6821</v>
      </c>
      <c r="F3216" s="1" t="str">
        <f>HYPERLINK("https://talan.bank.gov.ua/get-user-certificate/J5325bY_yuzlLVGsOe71","Завантажити сертифікат")</f>
        <v>Завантажити сертифікат</v>
      </c>
    </row>
    <row r="3217" spans="1:6" ht="28.8" x14ac:dyDescent="0.3">
      <c r="A3217" s="2">
        <v>3216</v>
      </c>
      <c r="B3217" s="1" t="s">
        <v>6822</v>
      </c>
      <c r="C3217" s="1" t="s">
        <v>6591</v>
      </c>
      <c r="D3217" s="1" t="s">
        <v>6592</v>
      </c>
      <c r="E3217" s="1" t="s">
        <v>6823</v>
      </c>
      <c r="F3217" s="1" t="str">
        <f>HYPERLINK("https://talan.bank.gov.ua/get-user-certificate/J5325gIEWP1Pd1GI8lTZ","Завантажити сертифікат")</f>
        <v>Завантажити сертифікат</v>
      </c>
    </row>
    <row r="3218" spans="1:6" ht="28.8" x14ac:dyDescent="0.3">
      <c r="A3218" s="2">
        <v>3217</v>
      </c>
      <c r="B3218" s="1" t="s">
        <v>6824</v>
      </c>
      <c r="C3218" s="1" t="s">
        <v>6591</v>
      </c>
      <c r="D3218" s="1" t="s">
        <v>6592</v>
      </c>
      <c r="E3218" s="1" t="s">
        <v>6825</v>
      </c>
      <c r="F3218" s="1" t="str">
        <f>HYPERLINK("https://talan.bank.gov.ua/get-user-certificate/J5325GHMa4FxmWsUIu57","Завантажити сертифікат")</f>
        <v>Завантажити сертифікат</v>
      </c>
    </row>
    <row r="3219" spans="1:6" ht="28.8" x14ac:dyDescent="0.3">
      <c r="A3219" s="2">
        <v>3218</v>
      </c>
      <c r="B3219" s="1" t="s">
        <v>6826</v>
      </c>
      <c r="C3219" s="1" t="s">
        <v>6591</v>
      </c>
      <c r="D3219" s="1" t="s">
        <v>6592</v>
      </c>
      <c r="E3219" s="1" t="s">
        <v>6827</v>
      </c>
      <c r="F3219" s="1" t="str">
        <f>HYPERLINK("https://talan.bank.gov.ua/get-user-certificate/J532520VkAuo52t0twVB","Завантажити сертифікат")</f>
        <v>Завантажити сертифікат</v>
      </c>
    </row>
    <row r="3220" spans="1:6" ht="28.8" x14ac:dyDescent="0.3">
      <c r="A3220" s="2">
        <v>3219</v>
      </c>
      <c r="B3220" s="1" t="s">
        <v>6828</v>
      </c>
      <c r="C3220" s="1" t="s">
        <v>6591</v>
      </c>
      <c r="D3220" s="1" t="s">
        <v>6592</v>
      </c>
      <c r="E3220" s="1" t="s">
        <v>6829</v>
      </c>
      <c r="F3220" s="1" t="str">
        <f>HYPERLINK("https://talan.bank.gov.ua/get-user-certificate/J53258gaR3WBQqMAsH1r","Завантажити сертифікат")</f>
        <v>Завантажити сертифікат</v>
      </c>
    </row>
    <row r="3221" spans="1:6" ht="28.8" x14ac:dyDescent="0.3">
      <c r="A3221" s="2">
        <v>3220</v>
      </c>
      <c r="B3221" s="1" t="s">
        <v>6830</v>
      </c>
      <c r="C3221" s="1" t="s">
        <v>6591</v>
      </c>
      <c r="D3221" s="1" t="s">
        <v>6592</v>
      </c>
      <c r="E3221" s="1" t="s">
        <v>6831</v>
      </c>
      <c r="F3221" s="1" t="str">
        <f>HYPERLINK("https://talan.bank.gov.ua/get-user-certificate/J5325_4imQWeArQyUfOj","Завантажити сертифікат")</f>
        <v>Завантажити сертифікат</v>
      </c>
    </row>
    <row r="3222" spans="1:6" ht="28.8" x14ac:dyDescent="0.3">
      <c r="A3222" s="2">
        <v>3221</v>
      </c>
      <c r="B3222" s="1" t="s">
        <v>6832</v>
      </c>
      <c r="C3222" s="1" t="s">
        <v>6591</v>
      </c>
      <c r="D3222" s="1" t="s">
        <v>6592</v>
      </c>
      <c r="E3222" s="1" t="s">
        <v>6833</v>
      </c>
      <c r="F3222" s="1" t="str">
        <f>HYPERLINK("https://talan.bank.gov.ua/get-user-certificate/J5325EWgZd5KjXc6EkCT","Завантажити сертифікат")</f>
        <v>Завантажити сертифікат</v>
      </c>
    </row>
    <row r="3223" spans="1:6" ht="28.8" x14ac:dyDescent="0.3">
      <c r="A3223" s="2">
        <v>3222</v>
      </c>
      <c r="B3223" s="1" t="s">
        <v>6834</v>
      </c>
      <c r="C3223" s="1" t="s">
        <v>6591</v>
      </c>
      <c r="D3223" s="1" t="s">
        <v>6592</v>
      </c>
      <c r="E3223" s="1" t="s">
        <v>6835</v>
      </c>
      <c r="F3223" s="1" t="str">
        <f>HYPERLINK("https://talan.bank.gov.ua/get-user-certificate/J53257n1fj5_86AfDh5x","Завантажити сертифікат")</f>
        <v>Завантажити сертифікат</v>
      </c>
    </row>
    <row r="3224" spans="1:6" ht="28.8" x14ac:dyDescent="0.3">
      <c r="A3224" s="2">
        <v>3223</v>
      </c>
      <c r="B3224" s="1" t="s">
        <v>6836</v>
      </c>
      <c r="C3224" s="1" t="s">
        <v>6591</v>
      </c>
      <c r="D3224" s="1" t="s">
        <v>6592</v>
      </c>
      <c r="E3224" s="1" t="s">
        <v>6837</v>
      </c>
      <c r="F3224" s="1" t="str">
        <f>HYPERLINK("https://talan.bank.gov.ua/get-user-certificate/J53250hOoyhz_FeM189k","Завантажити сертифікат")</f>
        <v>Завантажити сертифікат</v>
      </c>
    </row>
    <row r="3225" spans="1:6" ht="28.8" x14ac:dyDescent="0.3">
      <c r="A3225" s="2">
        <v>3224</v>
      </c>
      <c r="B3225" s="1" t="s">
        <v>6838</v>
      </c>
      <c r="C3225" s="1" t="s">
        <v>6591</v>
      </c>
      <c r="D3225" s="1" t="s">
        <v>6592</v>
      </c>
      <c r="E3225" s="1" t="s">
        <v>6839</v>
      </c>
      <c r="F3225" s="1" t="str">
        <f>HYPERLINK("https://talan.bank.gov.ua/get-user-certificate/J5325bqken3V9VkqSQ7N","Завантажити сертифікат")</f>
        <v>Завантажити сертифікат</v>
      </c>
    </row>
    <row r="3226" spans="1:6" ht="28.8" x14ac:dyDescent="0.3">
      <c r="A3226" s="2">
        <v>3225</v>
      </c>
      <c r="B3226" s="1" t="s">
        <v>6840</v>
      </c>
      <c r="C3226" s="1" t="s">
        <v>6591</v>
      </c>
      <c r="D3226" s="1" t="s">
        <v>6592</v>
      </c>
      <c r="E3226" s="1" t="s">
        <v>6841</v>
      </c>
      <c r="F3226" s="1" t="str">
        <f>HYPERLINK("https://talan.bank.gov.ua/get-user-certificate/J53256h4NqugINn2kBqo","Завантажити сертифікат")</f>
        <v>Завантажити сертифікат</v>
      </c>
    </row>
    <row r="3227" spans="1:6" ht="28.8" x14ac:dyDescent="0.3">
      <c r="A3227" s="2">
        <v>3226</v>
      </c>
      <c r="B3227" s="1" t="s">
        <v>6842</v>
      </c>
      <c r="C3227" s="1" t="s">
        <v>6591</v>
      </c>
      <c r="D3227" s="1" t="s">
        <v>6592</v>
      </c>
      <c r="E3227" s="1" t="s">
        <v>6843</v>
      </c>
      <c r="F3227" s="1" t="str">
        <f>HYPERLINK("https://talan.bank.gov.ua/get-user-certificate/J5325sponTABawVTstN9","Завантажити сертифікат")</f>
        <v>Завантажити сертифікат</v>
      </c>
    </row>
    <row r="3228" spans="1:6" ht="28.8" x14ac:dyDescent="0.3">
      <c r="A3228" s="2">
        <v>3227</v>
      </c>
      <c r="B3228" s="1" t="s">
        <v>6844</v>
      </c>
      <c r="C3228" s="1" t="s">
        <v>6591</v>
      </c>
      <c r="D3228" s="1" t="s">
        <v>6592</v>
      </c>
      <c r="E3228" s="1" t="s">
        <v>6845</v>
      </c>
      <c r="F3228" s="1" t="str">
        <f>HYPERLINK("https://talan.bank.gov.ua/get-user-certificate/J5325CophehP8NnK5d6z","Завантажити сертифікат")</f>
        <v>Завантажити сертифікат</v>
      </c>
    </row>
    <row r="3229" spans="1:6" ht="28.8" x14ac:dyDescent="0.3">
      <c r="A3229" s="2">
        <v>3228</v>
      </c>
      <c r="B3229" s="1" t="s">
        <v>6846</v>
      </c>
      <c r="C3229" s="1" t="s">
        <v>6591</v>
      </c>
      <c r="D3229" s="1" t="s">
        <v>6592</v>
      </c>
      <c r="E3229" s="1" t="s">
        <v>6847</v>
      </c>
      <c r="F3229" s="1" t="str">
        <f>HYPERLINK("https://talan.bank.gov.ua/get-user-certificate/J5325VLH0O23DO0OpG82","Завантажити сертифікат")</f>
        <v>Завантажити сертифікат</v>
      </c>
    </row>
    <row r="3230" spans="1:6" ht="28.8" x14ac:dyDescent="0.3">
      <c r="A3230" s="2">
        <v>3229</v>
      </c>
      <c r="B3230" s="1" t="s">
        <v>6848</v>
      </c>
      <c r="C3230" s="1" t="s">
        <v>6591</v>
      </c>
      <c r="D3230" s="1" t="s">
        <v>6592</v>
      </c>
      <c r="E3230" s="1" t="s">
        <v>6849</v>
      </c>
      <c r="F3230" s="1" t="str">
        <f>HYPERLINK("https://talan.bank.gov.ua/get-user-certificate/J5325iLa0nYhL32azpHB","Завантажити сертифікат")</f>
        <v>Завантажити сертифікат</v>
      </c>
    </row>
    <row r="3231" spans="1:6" ht="28.8" x14ac:dyDescent="0.3">
      <c r="A3231" s="2">
        <v>3230</v>
      </c>
      <c r="B3231" s="1" t="s">
        <v>6850</v>
      </c>
      <c r="C3231" s="1" t="s">
        <v>6591</v>
      </c>
      <c r="D3231" s="1" t="s">
        <v>6592</v>
      </c>
      <c r="E3231" s="1" t="s">
        <v>6851</v>
      </c>
      <c r="F3231" s="1" t="str">
        <f>HYPERLINK("https://talan.bank.gov.ua/get-user-certificate/J53257kukeW3A5Bq7phT","Завантажити сертифікат")</f>
        <v>Завантажити сертифікат</v>
      </c>
    </row>
    <row r="3232" spans="1:6" ht="28.8" x14ac:dyDescent="0.3">
      <c r="A3232" s="2">
        <v>3231</v>
      </c>
      <c r="B3232" s="1" t="s">
        <v>6852</v>
      </c>
      <c r="C3232" s="1" t="s">
        <v>6591</v>
      </c>
      <c r="D3232" s="1" t="s">
        <v>6592</v>
      </c>
      <c r="E3232" s="1" t="s">
        <v>6853</v>
      </c>
      <c r="F3232" s="1" t="str">
        <f>HYPERLINK("https://talan.bank.gov.ua/get-user-certificate/J5325LQG9ZOoj6IhZgbA","Завантажити сертифікат")</f>
        <v>Завантажити сертифікат</v>
      </c>
    </row>
    <row r="3233" spans="1:6" ht="28.8" x14ac:dyDescent="0.3">
      <c r="A3233" s="2">
        <v>3232</v>
      </c>
      <c r="B3233" s="1" t="s">
        <v>6854</v>
      </c>
      <c r="C3233" s="1" t="s">
        <v>6591</v>
      </c>
      <c r="D3233" s="1" t="s">
        <v>6592</v>
      </c>
      <c r="E3233" s="1" t="s">
        <v>6855</v>
      </c>
      <c r="F3233" s="1" t="str">
        <f>HYPERLINK("https://talan.bank.gov.ua/get-user-certificate/J5325x_vILcOSmCvOdrT","Завантажити сертифікат")</f>
        <v>Завантажити сертифікат</v>
      </c>
    </row>
    <row r="3234" spans="1:6" ht="28.8" x14ac:dyDescent="0.3">
      <c r="A3234" s="2">
        <v>3233</v>
      </c>
      <c r="B3234" s="1" t="s">
        <v>6856</v>
      </c>
      <c r="C3234" s="1" t="s">
        <v>6591</v>
      </c>
      <c r="D3234" s="1" t="s">
        <v>6592</v>
      </c>
      <c r="E3234" s="1" t="s">
        <v>6857</v>
      </c>
      <c r="F3234" s="1" t="str">
        <f>HYPERLINK("https://talan.bank.gov.ua/get-user-certificate/J5325WexYSeKuFg_g24d","Завантажити сертифікат")</f>
        <v>Завантажити сертифікат</v>
      </c>
    </row>
    <row r="3235" spans="1:6" ht="28.8" x14ac:dyDescent="0.3">
      <c r="A3235" s="2">
        <v>3234</v>
      </c>
      <c r="B3235" s="1" t="s">
        <v>6858</v>
      </c>
      <c r="C3235" s="1" t="s">
        <v>6591</v>
      </c>
      <c r="D3235" s="1" t="s">
        <v>6592</v>
      </c>
      <c r="E3235" s="1" t="s">
        <v>6859</v>
      </c>
      <c r="F3235" s="1" t="str">
        <f>HYPERLINK("https://talan.bank.gov.ua/get-user-certificate/J5325wWGqfHjuG3LjRwm","Завантажити сертифікат")</f>
        <v>Завантажити сертифікат</v>
      </c>
    </row>
    <row r="3236" spans="1:6" ht="28.8" x14ac:dyDescent="0.3">
      <c r="A3236" s="2">
        <v>3235</v>
      </c>
      <c r="B3236" s="1" t="s">
        <v>6860</v>
      </c>
      <c r="C3236" s="1" t="s">
        <v>6591</v>
      </c>
      <c r="D3236" s="1" t="s">
        <v>6592</v>
      </c>
      <c r="E3236" s="1" t="s">
        <v>6861</v>
      </c>
      <c r="F3236" s="1" t="str">
        <f>HYPERLINK("https://talan.bank.gov.ua/get-user-certificate/J5325gqQX8EBXKbk0OHg","Завантажити сертифікат")</f>
        <v>Завантажити сертифікат</v>
      </c>
    </row>
    <row r="3237" spans="1:6" ht="28.8" x14ac:dyDescent="0.3">
      <c r="A3237" s="2">
        <v>3236</v>
      </c>
      <c r="B3237" s="1" t="s">
        <v>6862</v>
      </c>
      <c r="C3237" s="1" t="s">
        <v>6591</v>
      </c>
      <c r="D3237" s="1" t="s">
        <v>6592</v>
      </c>
      <c r="E3237" s="1" t="s">
        <v>6863</v>
      </c>
      <c r="F3237" s="1" t="str">
        <f>HYPERLINK("https://talan.bank.gov.ua/get-user-certificate/J5325wYptwicxR2y_jSo","Завантажити сертифікат")</f>
        <v>Завантажити сертифікат</v>
      </c>
    </row>
    <row r="3238" spans="1:6" ht="28.8" x14ac:dyDescent="0.3">
      <c r="A3238" s="2">
        <v>3237</v>
      </c>
      <c r="B3238" s="1" t="s">
        <v>6864</v>
      </c>
      <c r="C3238" s="1" t="s">
        <v>6591</v>
      </c>
      <c r="D3238" s="1" t="s">
        <v>6592</v>
      </c>
      <c r="E3238" s="1" t="s">
        <v>6865</v>
      </c>
      <c r="F3238" s="1" t="str">
        <f>HYPERLINK("https://talan.bank.gov.ua/get-user-certificate/J5325zjIC92hrF4wQRik","Завантажити сертифікат")</f>
        <v>Завантажити сертифікат</v>
      </c>
    </row>
    <row r="3239" spans="1:6" ht="28.8" x14ac:dyDescent="0.3">
      <c r="A3239" s="2">
        <v>3238</v>
      </c>
      <c r="B3239" s="1" t="s">
        <v>6866</v>
      </c>
      <c r="C3239" s="1" t="s">
        <v>6591</v>
      </c>
      <c r="D3239" s="1" t="s">
        <v>6592</v>
      </c>
      <c r="E3239" s="1" t="s">
        <v>6867</v>
      </c>
      <c r="F3239" s="1" t="str">
        <f>HYPERLINK("https://talan.bank.gov.ua/get-user-certificate/J53254svNZ0xcKDLL4y0","Завантажити сертифікат")</f>
        <v>Завантажити сертифікат</v>
      </c>
    </row>
    <row r="3240" spans="1:6" ht="28.8" x14ac:dyDescent="0.3">
      <c r="A3240" s="2">
        <v>3239</v>
      </c>
      <c r="B3240" s="1" t="s">
        <v>6868</v>
      </c>
      <c r="C3240" s="1" t="s">
        <v>6591</v>
      </c>
      <c r="D3240" s="1" t="s">
        <v>6592</v>
      </c>
      <c r="E3240" s="1" t="s">
        <v>6869</v>
      </c>
      <c r="F3240" s="1" t="str">
        <f>HYPERLINK("https://talan.bank.gov.ua/get-user-certificate/J5325kRQpLpGMnrqKUR5","Завантажити сертифікат")</f>
        <v>Завантажити сертифікат</v>
      </c>
    </row>
    <row r="3241" spans="1:6" ht="28.8" x14ac:dyDescent="0.3">
      <c r="A3241" s="2">
        <v>3240</v>
      </c>
      <c r="B3241" s="1" t="s">
        <v>6870</v>
      </c>
      <c r="C3241" s="1" t="s">
        <v>6591</v>
      </c>
      <c r="D3241" s="1" t="s">
        <v>6592</v>
      </c>
      <c r="E3241" s="1" t="s">
        <v>6871</v>
      </c>
      <c r="F3241" s="1" t="str">
        <f>HYPERLINK("https://talan.bank.gov.ua/get-user-certificate/J53257LyxSD-faLjvBvO","Завантажити сертифікат")</f>
        <v>Завантажити сертифікат</v>
      </c>
    </row>
    <row r="3242" spans="1:6" ht="28.8" x14ac:dyDescent="0.3">
      <c r="A3242" s="2">
        <v>3241</v>
      </c>
      <c r="B3242" s="1" t="s">
        <v>6872</v>
      </c>
      <c r="C3242" s="1" t="s">
        <v>6591</v>
      </c>
      <c r="D3242" s="1" t="s">
        <v>6592</v>
      </c>
      <c r="E3242" s="1" t="s">
        <v>6873</v>
      </c>
      <c r="F3242" s="1" t="str">
        <f>HYPERLINK("https://talan.bank.gov.ua/get-user-certificate/J5325InI_AT_UpVnIo2N","Завантажити сертифікат")</f>
        <v>Завантажити сертифікат</v>
      </c>
    </row>
    <row r="3243" spans="1:6" ht="28.8" x14ac:dyDescent="0.3">
      <c r="A3243" s="2">
        <v>3242</v>
      </c>
      <c r="B3243" s="1" t="s">
        <v>6874</v>
      </c>
      <c r="C3243" s="1" t="s">
        <v>6591</v>
      </c>
      <c r="D3243" s="1" t="s">
        <v>6592</v>
      </c>
      <c r="E3243" s="1" t="s">
        <v>6875</v>
      </c>
      <c r="F3243" s="1" t="str">
        <f>HYPERLINK("https://talan.bank.gov.ua/get-user-certificate/J5325BmN8SJc3We9_kQ-","Завантажити сертифікат")</f>
        <v>Завантажити сертифікат</v>
      </c>
    </row>
    <row r="3244" spans="1:6" ht="28.8" x14ac:dyDescent="0.3">
      <c r="A3244" s="2">
        <v>3243</v>
      </c>
      <c r="B3244" s="1" t="s">
        <v>6876</v>
      </c>
      <c r="C3244" s="1" t="s">
        <v>6591</v>
      </c>
      <c r="D3244" s="1" t="s">
        <v>6592</v>
      </c>
      <c r="E3244" s="1" t="s">
        <v>6877</v>
      </c>
      <c r="F3244" s="1" t="str">
        <f>HYPERLINK("https://talan.bank.gov.ua/get-user-certificate/J5325Pxroblq_cN3SFCv","Завантажити сертифікат")</f>
        <v>Завантажити сертифікат</v>
      </c>
    </row>
    <row r="3245" spans="1:6" ht="28.8" x14ac:dyDescent="0.3">
      <c r="A3245" s="2">
        <v>3244</v>
      </c>
      <c r="B3245" s="1" t="s">
        <v>6878</v>
      </c>
      <c r="C3245" s="1" t="s">
        <v>6591</v>
      </c>
      <c r="D3245" s="1" t="s">
        <v>6592</v>
      </c>
      <c r="E3245" s="1" t="s">
        <v>6879</v>
      </c>
      <c r="F3245" s="1" t="str">
        <f>HYPERLINK("https://talan.bank.gov.ua/get-user-certificate/J5325_2L3CHLsygC1zYc","Завантажити сертифікат")</f>
        <v>Завантажити сертифікат</v>
      </c>
    </row>
    <row r="3246" spans="1:6" ht="28.8" x14ac:dyDescent="0.3">
      <c r="A3246" s="2">
        <v>3245</v>
      </c>
      <c r="B3246" s="1" t="s">
        <v>6880</v>
      </c>
      <c r="C3246" s="1" t="s">
        <v>6591</v>
      </c>
      <c r="D3246" s="1" t="s">
        <v>6592</v>
      </c>
      <c r="E3246" s="1" t="s">
        <v>6881</v>
      </c>
      <c r="F3246" s="1" t="str">
        <f>HYPERLINK("https://talan.bank.gov.ua/get-user-certificate/J5325qHES8_pwCFUhdRR","Завантажити сертифікат")</f>
        <v>Завантажити сертифікат</v>
      </c>
    </row>
    <row r="3247" spans="1:6" ht="28.8" x14ac:dyDescent="0.3">
      <c r="A3247" s="2">
        <v>3246</v>
      </c>
      <c r="B3247" s="1" t="s">
        <v>6882</v>
      </c>
      <c r="C3247" s="1" t="s">
        <v>6591</v>
      </c>
      <c r="D3247" s="1" t="s">
        <v>6592</v>
      </c>
      <c r="E3247" s="1" t="s">
        <v>6883</v>
      </c>
      <c r="F3247" s="1" t="str">
        <f>HYPERLINK("https://talan.bank.gov.ua/get-user-certificate/J532526q0N4amLwyZHow","Завантажити сертифікат")</f>
        <v>Завантажити сертифікат</v>
      </c>
    </row>
    <row r="3248" spans="1:6" ht="28.8" x14ac:dyDescent="0.3">
      <c r="A3248" s="2">
        <v>3247</v>
      </c>
      <c r="B3248" s="1" t="s">
        <v>6884</v>
      </c>
      <c r="C3248" s="1" t="s">
        <v>6591</v>
      </c>
      <c r="D3248" s="1" t="s">
        <v>6592</v>
      </c>
      <c r="E3248" s="1" t="s">
        <v>6885</v>
      </c>
      <c r="F3248" s="1" t="str">
        <f>HYPERLINK("https://talan.bank.gov.ua/get-user-certificate/J5325M1zdHso7GeESr_B","Завантажити сертифікат")</f>
        <v>Завантажити сертифікат</v>
      </c>
    </row>
    <row r="3249" spans="1:6" x14ac:dyDescent="0.3">
      <c r="A3249" s="2">
        <v>3248</v>
      </c>
      <c r="B3249" s="1" t="s">
        <v>6886</v>
      </c>
      <c r="C3249" s="1" t="s">
        <v>6887</v>
      </c>
      <c r="D3249" s="1" t="s">
        <v>6888</v>
      </c>
      <c r="E3249" s="1" t="s">
        <v>6889</v>
      </c>
      <c r="F3249" s="1" t="str">
        <f>HYPERLINK("https://talan.bank.gov.ua/get-user-certificate/J5325FGD-cwDg0xR2Qxv","Завантажити сертифікат")</f>
        <v>Завантажити сертифікат</v>
      </c>
    </row>
    <row r="3250" spans="1:6" x14ac:dyDescent="0.3">
      <c r="A3250" s="2">
        <v>3249</v>
      </c>
      <c r="B3250" s="1" t="s">
        <v>6890</v>
      </c>
      <c r="C3250" s="1" t="s">
        <v>6887</v>
      </c>
      <c r="D3250" s="1" t="s">
        <v>6888</v>
      </c>
      <c r="E3250" s="1" t="s">
        <v>6891</v>
      </c>
      <c r="F3250" s="1" t="str">
        <f>HYPERLINK("https://talan.bank.gov.ua/get-user-certificate/J5325H5n7Z5Qs6WI3iEj","Завантажити сертифікат")</f>
        <v>Завантажити сертифікат</v>
      </c>
    </row>
    <row r="3251" spans="1:6" x14ac:dyDescent="0.3">
      <c r="A3251" s="2">
        <v>3250</v>
      </c>
      <c r="B3251" s="1" t="s">
        <v>6892</v>
      </c>
      <c r="C3251" s="1" t="s">
        <v>6887</v>
      </c>
      <c r="D3251" s="1" t="s">
        <v>6888</v>
      </c>
      <c r="E3251" s="1" t="s">
        <v>6893</v>
      </c>
      <c r="F3251" s="1" t="str">
        <f>HYPERLINK("https://talan.bank.gov.ua/get-user-certificate/J5325t0Zg84I5_DP9qx1","Завантажити сертифікат")</f>
        <v>Завантажити сертифікат</v>
      </c>
    </row>
    <row r="3252" spans="1:6" x14ac:dyDescent="0.3">
      <c r="A3252" s="2">
        <v>3251</v>
      </c>
      <c r="B3252" s="1" t="s">
        <v>6894</v>
      </c>
      <c r="C3252" s="1" t="s">
        <v>6887</v>
      </c>
      <c r="D3252" s="1" t="s">
        <v>6888</v>
      </c>
      <c r="E3252" s="1" t="s">
        <v>6895</v>
      </c>
      <c r="F3252" s="1" t="str">
        <f>HYPERLINK("https://talan.bank.gov.ua/get-user-certificate/J5325_Nw0pm7MP4CHeTb","Завантажити сертифікат")</f>
        <v>Завантажити сертифікат</v>
      </c>
    </row>
    <row r="3253" spans="1:6" x14ac:dyDescent="0.3">
      <c r="A3253" s="2">
        <v>3252</v>
      </c>
      <c r="B3253" s="1" t="s">
        <v>6896</v>
      </c>
      <c r="C3253" s="1" t="s">
        <v>6887</v>
      </c>
      <c r="D3253" s="1" t="s">
        <v>6888</v>
      </c>
      <c r="E3253" s="1" t="s">
        <v>6897</v>
      </c>
      <c r="F3253" s="1" t="str">
        <f>HYPERLINK("https://talan.bank.gov.ua/get-user-certificate/J5325xH5uT-K3lUqImlb","Завантажити сертифікат")</f>
        <v>Завантажити сертифікат</v>
      </c>
    </row>
    <row r="3254" spans="1:6" x14ac:dyDescent="0.3">
      <c r="A3254" s="2">
        <v>3253</v>
      </c>
      <c r="B3254" s="1" t="s">
        <v>6898</v>
      </c>
      <c r="C3254" s="1" t="s">
        <v>6887</v>
      </c>
      <c r="D3254" s="1" t="s">
        <v>6888</v>
      </c>
      <c r="E3254" s="1" t="s">
        <v>6899</v>
      </c>
      <c r="F3254" s="1" t="str">
        <f>HYPERLINK("https://talan.bank.gov.ua/get-user-certificate/J5325s3YheACmV3OX_RE","Завантажити сертифікат")</f>
        <v>Завантажити сертифікат</v>
      </c>
    </row>
    <row r="3255" spans="1:6" ht="28.8" x14ac:dyDescent="0.3">
      <c r="A3255" s="2">
        <v>3254</v>
      </c>
      <c r="B3255" s="1" t="s">
        <v>6900</v>
      </c>
      <c r="C3255" s="1" t="s">
        <v>6901</v>
      </c>
      <c r="D3255" s="1" t="s">
        <v>6902</v>
      </c>
      <c r="E3255" s="1" t="s">
        <v>6903</v>
      </c>
      <c r="F3255" s="1" t="str">
        <f>HYPERLINK("https://talan.bank.gov.ua/get-user-certificate/J5325L7ftGuMBxUioFFH","Завантажити сертифікат")</f>
        <v>Завантажити сертифікат</v>
      </c>
    </row>
    <row r="3256" spans="1:6" ht="28.8" x14ac:dyDescent="0.3">
      <c r="A3256" s="2">
        <v>3255</v>
      </c>
      <c r="B3256" s="1" t="s">
        <v>6904</v>
      </c>
      <c r="C3256" s="1" t="s">
        <v>6901</v>
      </c>
      <c r="D3256" s="1" t="s">
        <v>6902</v>
      </c>
      <c r="E3256" s="1" t="s">
        <v>6905</v>
      </c>
      <c r="F3256" s="1" t="str">
        <f>HYPERLINK("https://talan.bank.gov.ua/get-user-certificate/J5325m9ffbPtyOCGNgb1","Завантажити сертифікат")</f>
        <v>Завантажити сертифікат</v>
      </c>
    </row>
    <row r="3257" spans="1:6" ht="28.8" x14ac:dyDescent="0.3">
      <c r="A3257" s="2">
        <v>3256</v>
      </c>
      <c r="B3257" s="1" t="s">
        <v>6906</v>
      </c>
      <c r="C3257" s="1" t="s">
        <v>6901</v>
      </c>
      <c r="D3257" s="1" t="s">
        <v>6902</v>
      </c>
      <c r="E3257" s="1" t="s">
        <v>6907</v>
      </c>
      <c r="F3257" s="1" t="str">
        <f>HYPERLINK("https://talan.bank.gov.ua/get-user-certificate/J53253vkkUhFjNKeDpg6","Завантажити сертифікат")</f>
        <v>Завантажити сертифікат</v>
      </c>
    </row>
    <row r="3258" spans="1:6" ht="28.8" x14ac:dyDescent="0.3">
      <c r="A3258" s="2">
        <v>3257</v>
      </c>
      <c r="B3258" s="1" t="s">
        <v>6908</v>
      </c>
      <c r="C3258" s="1" t="s">
        <v>6901</v>
      </c>
      <c r="D3258" s="1" t="s">
        <v>6902</v>
      </c>
      <c r="E3258" s="1" t="s">
        <v>6909</v>
      </c>
      <c r="F3258" s="1" t="str">
        <f>HYPERLINK("https://talan.bank.gov.ua/get-user-certificate/J5325pPYQTHw2FR8Iznm","Завантажити сертифікат")</f>
        <v>Завантажити сертифікат</v>
      </c>
    </row>
    <row r="3259" spans="1:6" ht="28.8" x14ac:dyDescent="0.3">
      <c r="A3259" s="2">
        <v>3258</v>
      </c>
      <c r="B3259" s="1" t="s">
        <v>6910</v>
      </c>
      <c r="C3259" s="1" t="s">
        <v>6901</v>
      </c>
      <c r="D3259" s="1" t="s">
        <v>6902</v>
      </c>
      <c r="E3259" s="1" t="s">
        <v>6911</v>
      </c>
      <c r="F3259" s="1" t="str">
        <f>HYPERLINK("https://talan.bank.gov.ua/get-user-certificate/J5325bvHyLMiMp5-Wb65","Завантажити сертифікат")</f>
        <v>Завантажити сертифікат</v>
      </c>
    </row>
    <row r="3260" spans="1:6" ht="28.8" x14ac:dyDescent="0.3">
      <c r="A3260" s="2">
        <v>3259</v>
      </c>
      <c r="B3260" s="1" t="s">
        <v>6912</v>
      </c>
      <c r="C3260" s="1" t="s">
        <v>6901</v>
      </c>
      <c r="D3260" s="1" t="s">
        <v>6902</v>
      </c>
      <c r="E3260" s="1" t="s">
        <v>6913</v>
      </c>
      <c r="F3260" s="1" t="str">
        <f>HYPERLINK("https://talan.bank.gov.ua/get-user-certificate/J5325f958HbbCI-wM-uC","Завантажити сертифікат")</f>
        <v>Завантажити сертифікат</v>
      </c>
    </row>
    <row r="3261" spans="1:6" ht="28.8" x14ac:dyDescent="0.3">
      <c r="A3261" s="2">
        <v>3260</v>
      </c>
      <c r="B3261" s="1" t="s">
        <v>6914</v>
      </c>
      <c r="C3261" s="1" t="s">
        <v>6915</v>
      </c>
      <c r="D3261" s="1" t="s">
        <v>6916</v>
      </c>
      <c r="E3261" s="1" t="s">
        <v>6917</v>
      </c>
      <c r="F3261" s="1" t="str">
        <f>HYPERLINK("https://talan.bank.gov.ua/get-user-certificate/J5325QqEw4FmbY4PQZpA","Завантажити сертифікат")</f>
        <v>Завантажити сертифікат</v>
      </c>
    </row>
    <row r="3262" spans="1:6" ht="28.8" x14ac:dyDescent="0.3">
      <c r="A3262" s="2">
        <v>3261</v>
      </c>
      <c r="B3262" s="1" t="s">
        <v>6918</v>
      </c>
      <c r="C3262" s="1" t="s">
        <v>6915</v>
      </c>
      <c r="D3262" s="1" t="s">
        <v>6916</v>
      </c>
      <c r="E3262" s="1" t="s">
        <v>6919</v>
      </c>
      <c r="F3262" s="1" t="str">
        <f>HYPERLINK("https://talan.bank.gov.ua/get-user-certificate/J53259zK0Uiitr1LboRX","Завантажити сертифікат")</f>
        <v>Завантажити сертифікат</v>
      </c>
    </row>
    <row r="3263" spans="1:6" ht="28.8" x14ac:dyDescent="0.3">
      <c r="A3263" s="2">
        <v>3262</v>
      </c>
      <c r="B3263" s="1" t="s">
        <v>6920</v>
      </c>
      <c r="C3263" s="1" t="s">
        <v>6915</v>
      </c>
      <c r="D3263" s="1" t="s">
        <v>6916</v>
      </c>
      <c r="E3263" s="1" t="s">
        <v>6921</v>
      </c>
      <c r="F3263" s="1" t="str">
        <f>HYPERLINK("https://talan.bank.gov.ua/get-user-certificate/J5325Wr774nGHsHjdElT","Завантажити сертифікат")</f>
        <v>Завантажити сертифікат</v>
      </c>
    </row>
    <row r="3264" spans="1:6" ht="28.8" x14ac:dyDescent="0.3">
      <c r="A3264" s="2">
        <v>3263</v>
      </c>
      <c r="B3264" s="1" t="s">
        <v>6922</v>
      </c>
      <c r="C3264" s="1" t="s">
        <v>6915</v>
      </c>
      <c r="D3264" s="1" t="s">
        <v>6916</v>
      </c>
      <c r="E3264" s="1" t="s">
        <v>6923</v>
      </c>
      <c r="F3264" s="1" t="str">
        <f>HYPERLINK("https://talan.bank.gov.ua/get-user-certificate/J5325yI9JLEJOEyQEM9b","Завантажити сертифікат")</f>
        <v>Завантажити сертифікат</v>
      </c>
    </row>
    <row r="3265" spans="1:6" ht="28.8" x14ac:dyDescent="0.3">
      <c r="A3265" s="2">
        <v>3264</v>
      </c>
      <c r="B3265" s="1" t="s">
        <v>6924</v>
      </c>
      <c r="C3265" s="1" t="s">
        <v>6915</v>
      </c>
      <c r="D3265" s="1" t="s">
        <v>6916</v>
      </c>
      <c r="E3265" s="1" t="s">
        <v>6925</v>
      </c>
      <c r="F3265" s="1" t="str">
        <f>HYPERLINK("https://talan.bank.gov.ua/get-user-certificate/J5325AQEnz-v1qwP-mxg","Завантажити сертифікат")</f>
        <v>Завантажити сертифікат</v>
      </c>
    </row>
    <row r="3266" spans="1:6" ht="28.8" x14ac:dyDescent="0.3">
      <c r="A3266" s="2">
        <v>3265</v>
      </c>
      <c r="B3266" s="1" t="s">
        <v>6926</v>
      </c>
      <c r="C3266" s="1" t="s">
        <v>6915</v>
      </c>
      <c r="D3266" s="1" t="s">
        <v>6916</v>
      </c>
      <c r="E3266" s="1" t="s">
        <v>6927</v>
      </c>
      <c r="F3266" s="1" t="str">
        <f>HYPERLINK("https://talan.bank.gov.ua/get-user-certificate/J5325u8EeGJ4W2d_k-9E","Завантажити сертифікат")</f>
        <v>Завантажити сертифікат</v>
      </c>
    </row>
    <row r="3267" spans="1:6" ht="28.8" x14ac:dyDescent="0.3">
      <c r="A3267" s="2">
        <v>3266</v>
      </c>
      <c r="B3267" s="1" t="s">
        <v>6928</v>
      </c>
      <c r="C3267" s="1" t="s">
        <v>6915</v>
      </c>
      <c r="D3267" s="1" t="s">
        <v>6916</v>
      </c>
      <c r="E3267" s="1" t="s">
        <v>6929</v>
      </c>
      <c r="F3267" s="1" t="str">
        <f>HYPERLINK("https://talan.bank.gov.ua/get-user-certificate/J53251dB73BDVoJX-8Tc","Завантажити сертифікат")</f>
        <v>Завантажити сертифікат</v>
      </c>
    </row>
    <row r="3268" spans="1:6" ht="28.8" x14ac:dyDescent="0.3">
      <c r="A3268" s="2">
        <v>3267</v>
      </c>
      <c r="B3268" s="1" t="s">
        <v>6930</v>
      </c>
      <c r="C3268" s="1" t="s">
        <v>6915</v>
      </c>
      <c r="D3268" s="1" t="s">
        <v>6916</v>
      </c>
      <c r="E3268" s="1" t="s">
        <v>6931</v>
      </c>
      <c r="F3268" s="1" t="str">
        <f>HYPERLINK("https://talan.bank.gov.ua/get-user-certificate/J5325pGcif-5HR51RP4U","Завантажити сертифікат")</f>
        <v>Завантажити сертифікат</v>
      </c>
    </row>
    <row r="3269" spans="1:6" ht="28.8" x14ac:dyDescent="0.3">
      <c r="A3269" s="2">
        <v>3268</v>
      </c>
      <c r="B3269" s="1" t="s">
        <v>6932</v>
      </c>
      <c r="C3269" s="1" t="s">
        <v>6915</v>
      </c>
      <c r="D3269" s="1" t="s">
        <v>6916</v>
      </c>
      <c r="E3269" s="1" t="s">
        <v>6933</v>
      </c>
      <c r="F3269" s="1" t="str">
        <f>HYPERLINK("https://talan.bank.gov.ua/get-user-certificate/J5325Ofo9XwjxxQ0h7G7","Завантажити сертифікат")</f>
        <v>Завантажити сертифікат</v>
      </c>
    </row>
    <row r="3270" spans="1:6" ht="28.8" x14ac:dyDescent="0.3">
      <c r="A3270" s="2">
        <v>3269</v>
      </c>
      <c r="B3270" s="1" t="s">
        <v>6934</v>
      </c>
      <c r="C3270" s="1" t="s">
        <v>6915</v>
      </c>
      <c r="D3270" s="1" t="s">
        <v>6916</v>
      </c>
      <c r="E3270" s="1" t="s">
        <v>6935</v>
      </c>
      <c r="F3270" s="1" t="str">
        <f>HYPERLINK("https://talan.bank.gov.ua/get-user-certificate/J5325gzJYuI_zh5zmSAD","Завантажити сертифікат")</f>
        <v>Завантажити сертифікат</v>
      </c>
    </row>
    <row r="3271" spans="1:6" ht="28.8" x14ac:dyDescent="0.3">
      <c r="A3271" s="2">
        <v>3270</v>
      </c>
      <c r="B3271" s="1" t="s">
        <v>6936</v>
      </c>
      <c r="C3271" s="1" t="s">
        <v>6915</v>
      </c>
      <c r="D3271" s="1" t="s">
        <v>6916</v>
      </c>
      <c r="E3271" s="1" t="s">
        <v>6937</v>
      </c>
      <c r="F3271" s="1" t="str">
        <f>HYPERLINK("https://talan.bank.gov.ua/get-user-certificate/J5325BNuxl9eDcoLk7-I","Завантажити сертифікат")</f>
        <v>Завантажити сертифікат</v>
      </c>
    </row>
    <row r="3272" spans="1:6" ht="28.8" x14ac:dyDescent="0.3">
      <c r="A3272" s="2">
        <v>3271</v>
      </c>
      <c r="B3272" s="1" t="s">
        <v>6938</v>
      </c>
      <c r="C3272" s="1" t="s">
        <v>6915</v>
      </c>
      <c r="D3272" s="1" t="s">
        <v>6916</v>
      </c>
      <c r="E3272" s="1" t="s">
        <v>6939</v>
      </c>
      <c r="F3272" s="1" t="str">
        <f>HYPERLINK("https://talan.bank.gov.ua/get-user-certificate/J5325ajIp_0tB8YsqWi0","Завантажити сертифікат")</f>
        <v>Завантажити сертифікат</v>
      </c>
    </row>
    <row r="3273" spans="1:6" ht="28.8" x14ac:dyDescent="0.3">
      <c r="A3273" s="2">
        <v>3272</v>
      </c>
      <c r="B3273" s="1" t="s">
        <v>6940</v>
      </c>
      <c r="C3273" s="1" t="s">
        <v>6915</v>
      </c>
      <c r="D3273" s="1" t="s">
        <v>6916</v>
      </c>
      <c r="E3273" s="1" t="s">
        <v>6941</v>
      </c>
      <c r="F3273" s="1" t="str">
        <f>HYPERLINK("https://talan.bank.gov.ua/get-user-certificate/J5325pCvK0f6ZoDuN57t","Завантажити сертифікат")</f>
        <v>Завантажити сертифікат</v>
      </c>
    </row>
    <row r="3274" spans="1:6" ht="28.8" x14ac:dyDescent="0.3">
      <c r="A3274" s="2">
        <v>3273</v>
      </c>
      <c r="B3274" s="1" t="s">
        <v>6942</v>
      </c>
      <c r="C3274" s="1" t="s">
        <v>6915</v>
      </c>
      <c r="D3274" s="1" t="s">
        <v>6916</v>
      </c>
      <c r="E3274" s="1" t="s">
        <v>6943</v>
      </c>
      <c r="F3274" s="1" t="str">
        <f>HYPERLINK("https://talan.bank.gov.ua/get-user-certificate/J5325UkHseMYhw1c7Jxv","Завантажити сертифікат")</f>
        <v>Завантажити сертифікат</v>
      </c>
    </row>
    <row r="3275" spans="1:6" ht="28.8" x14ac:dyDescent="0.3">
      <c r="A3275" s="2">
        <v>3274</v>
      </c>
      <c r="B3275" s="1" t="s">
        <v>6944</v>
      </c>
      <c r="C3275" s="1" t="s">
        <v>6915</v>
      </c>
      <c r="D3275" s="1" t="s">
        <v>6916</v>
      </c>
      <c r="E3275" s="1" t="s">
        <v>6945</v>
      </c>
      <c r="F3275" s="1" t="str">
        <f>HYPERLINK("https://talan.bank.gov.ua/get-user-certificate/J5325P7keZxcLvdK8H9Q","Завантажити сертифікат")</f>
        <v>Завантажити сертифікат</v>
      </c>
    </row>
    <row r="3276" spans="1:6" ht="28.8" x14ac:dyDescent="0.3">
      <c r="A3276" s="2">
        <v>3275</v>
      </c>
      <c r="B3276" s="1" t="s">
        <v>6946</v>
      </c>
      <c r="C3276" s="1" t="s">
        <v>6915</v>
      </c>
      <c r="D3276" s="1" t="s">
        <v>6916</v>
      </c>
      <c r="E3276" s="1" t="s">
        <v>6947</v>
      </c>
      <c r="F3276" s="1" t="str">
        <f>HYPERLINK("https://talan.bank.gov.ua/get-user-certificate/J5325uAcRo8xDNoQUuMW","Завантажити сертифікат")</f>
        <v>Завантажити сертифікат</v>
      </c>
    </row>
    <row r="3277" spans="1:6" ht="28.8" x14ac:dyDescent="0.3">
      <c r="A3277" s="2">
        <v>3276</v>
      </c>
      <c r="B3277" s="1" t="s">
        <v>6948</v>
      </c>
      <c r="C3277" s="1" t="s">
        <v>6915</v>
      </c>
      <c r="D3277" s="1" t="s">
        <v>6916</v>
      </c>
      <c r="E3277" s="1" t="s">
        <v>6949</v>
      </c>
      <c r="F3277" s="1" t="str">
        <f>HYPERLINK("https://talan.bank.gov.ua/get-user-certificate/J5325cn68E9ejrPPPFt3","Завантажити сертифікат")</f>
        <v>Завантажити сертифікат</v>
      </c>
    </row>
    <row r="3278" spans="1:6" ht="28.8" x14ac:dyDescent="0.3">
      <c r="A3278" s="2">
        <v>3277</v>
      </c>
      <c r="B3278" s="1" t="s">
        <v>6950</v>
      </c>
      <c r="C3278" s="1" t="s">
        <v>6915</v>
      </c>
      <c r="D3278" s="1" t="s">
        <v>6916</v>
      </c>
      <c r="E3278" s="1" t="s">
        <v>6951</v>
      </c>
      <c r="F3278" s="1" t="str">
        <f>HYPERLINK("https://talan.bank.gov.ua/get-user-certificate/J532542vzETqfr1Y1isX","Завантажити сертифікат")</f>
        <v>Завантажити сертифікат</v>
      </c>
    </row>
    <row r="3279" spans="1:6" ht="28.8" x14ac:dyDescent="0.3">
      <c r="A3279" s="2">
        <v>3278</v>
      </c>
      <c r="B3279" s="1" t="s">
        <v>6952</v>
      </c>
      <c r="C3279" s="1" t="s">
        <v>6953</v>
      </c>
      <c r="D3279" s="1" t="s">
        <v>6954</v>
      </c>
      <c r="E3279" s="1" t="s">
        <v>6955</v>
      </c>
      <c r="F3279" s="1" t="str">
        <f>HYPERLINK("https://talan.bank.gov.ua/get-user-certificate/J5325X7tcn3pl7Z54P2c","Завантажити сертифікат")</f>
        <v>Завантажити сертифікат</v>
      </c>
    </row>
    <row r="3280" spans="1:6" ht="28.8" x14ac:dyDescent="0.3">
      <c r="A3280" s="2">
        <v>3279</v>
      </c>
      <c r="B3280" s="1" t="s">
        <v>6956</v>
      </c>
      <c r="C3280" s="1" t="s">
        <v>6953</v>
      </c>
      <c r="D3280" s="1" t="s">
        <v>6954</v>
      </c>
      <c r="E3280" s="1" t="s">
        <v>6957</v>
      </c>
      <c r="F3280" s="1" t="str">
        <f>HYPERLINK("https://talan.bank.gov.ua/get-user-certificate/J5325O2PPl3d6SorempV","Завантажити сертифікат")</f>
        <v>Завантажити сертифікат</v>
      </c>
    </row>
    <row r="3281" spans="1:6" ht="28.8" x14ac:dyDescent="0.3">
      <c r="A3281" s="2">
        <v>3280</v>
      </c>
      <c r="B3281" s="1" t="s">
        <v>6958</v>
      </c>
      <c r="C3281" s="1" t="s">
        <v>6959</v>
      </c>
      <c r="D3281" s="1" t="s">
        <v>6960</v>
      </c>
      <c r="E3281" s="1" t="s">
        <v>6961</v>
      </c>
      <c r="F3281" s="1" t="str">
        <f>HYPERLINK("https://talan.bank.gov.ua/get-user-certificate/J5325wwgSIqslhML7NQw","Завантажити сертифікат")</f>
        <v>Завантажити сертифікат</v>
      </c>
    </row>
    <row r="3282" spans="1:6" ht="28.8" x14ac:dyDescent="0.3">
      <c r="A3282" s="2">
        <v>3281</v>
      </c>
      <c r="B3282" s="1" t="s">
        <v>6962</v>
      </c>
      <c r="C3282" s="1" t="s">
        <v>6959</v>
      </c>
      <c r="D3282" s="1" t="s">
        <v>6960</v>
      </c>
      <c r="E3282" s="1" t="s">
        <v>6963</v>
      </c>
      <c r="F3282" s="1" t="str">
        <f>HYPERLINK("https://talan.bank.gov.ua/get-user-certificate/J532569QLh-c6Kq2cxXd","Завантажити сертифікат")</f>
        <v>Завантажити сертифікат</v>
      </c>
    </row>
    <row r="3283" spans="1:6" ht="28.8" x14ac:dyDescent="0.3">
      <c r="A3283" s="2">
        <v>3282</v>
      </c>
      <c r="B3283" s="1" t="s">
        <v>6964</v>
      </c>
      <c r="C3283" s="1" t="s">
        <v>6959</v>
      </c>
      <c r="D3283" s="1" t="s">
        <v>6960</v>
      </c>
      <c r="E3283" s="1" t="s">
        <v>6965</v>
      </c>
      <c r="F3283" s="1" t="str">
        <f>HYPERLINK("https://talan.bank.gov.ua/get-user-certificate/J53253lZLug0B8BvFKFE","Завантажити сертифікат")</f>
        <v>Завантажити сертифікат</v>
      </c>
    </row>
    <row r="3284" spans="1:6" ht="28.8" x14ac:dyDescent="0.3">
      <c r="A3284" s="2">
        <v>3283</v>
      </c>
      <c r="B3284" s="1" t="s">
        <v>6966</v>
      </c>
      <c r="C3284" s="1" t="s">
        <v>6959</v>
      </c>
      <c r="D3284" s="1" t="s">
        <v>6960</v>
      </c>
      <c r="E3284" s="1" t="s">
        <v>6967</v>
      </c>
      <c r="F3284" s="1" t="str">
        <f>HYPERLINK("https://talan.bank.gov.ua/get-user-certificate/J5325dh0pS4bC1L1Uizn","Завантажити сертифікат")</f>
        <v>Завантажити сертифікат</v>
      </c>
    </row>
    <row r="3285" spans="1:6" ht="28.8" x14ac:dyDescent="0.3">
      <c r="A3285" s="2">
        <v>3284</v>
      </c>
      <c r="B3285" s="1" t="s">
        <v>6968</v>
      </c>
      <c r="C3285" s="1" t="s">
        <v>6959</v>
      </c>
      <c r="D3285" s="1" t="s">
        <v>6960</v>
      </c>
      <c r="E3285" s="1" t="s">
        <v>6969</v>
      </c>
      <c r="F3285" s="1" t="str">
        <f>HYPERLINK("https://talan.bank.gov.ua/get-user-certificate/J5325HZf3p3EiW0OdsHb","Завантажити сертифікат")</f>
        <v>Завантажити сертифікат</v>
      </c>
    </row>
    <row r="3286" spans="1:6" ht="28.8" x14ac:dyDescent="0.3">
      <c r="A3286" s="2">
        <v>3285</v>
      </c>
      <c r="B3286" s="1" t="s">
        <v>6970</v>
      </c>
      <c r="C3286" s="1" t="s">
        <v>6971</v>
      </c>
      <c r="D3286" s="1" t="s">
        <v>6972</v>
      </c>
      <c r="E3286" s="1" t="s">
        <v>6973</v>
      </c>
      <c r="F3286" s="1" t="str">
        <f>HYPERLINK("https://talan.bank.gov.ua/get-user-certificate/J53256rTBqCHatzqyy7k","Завантажити сертифікат")</f>
        <v>Завантажити сертифікат</v>
      </c>
    </row>
    <row r="3287" spans="1:6" ht="28.8" x14ac:dyDescent="0.3">
      <c r="A3287" s="2">
        <v>3286</v>
      </c>
      <c r="B3287" s="1" t="s">
        <v>6974</v>
      </c>
      <c r="C3287" s="1" t="s">
        <v>6971</v>
      </c>
      <c r="D3287" s="1" t="s">
        <v>6972</v>
      </c>
      <c r="E3287" s="1" t="s">
        <v>6975</v>
      </c>
      <c r="F3287" s="1" t="str">
        <f>HYPERLINK("https://talan.bank.gov.ua/get-user-certificate/J5325Dqv8g81Gk9ETRbm","Завантажити сертифікат")</f>
        <v>Завантажити сертифікат</v>
      </c>
    </row>
    <row r="3288" spans="1:6" ht="28.8" x14ac:dyDescent="0.3">
      <c r="A3288" s="2">
        <v>3287</v>
      </c>
      <c r="B3288" s="1" t="s">
        <v>6976</v>
      </c>
      <c r="C3288" s="1" t="s">
        <v>6971</v>
      </c>
      <c r="D3288" s="1" t="s">
        <v>6972</v>
      </c>
      <c r="E3288" s="1" t="s">
        <v>6977</v>
      </c>
      <c r="F3288" s="1" t="str">
        <f>HYPERLINK("https://talan.bank.gov.ua/get-user-certificate/J5325bNAyM9a3IzziE30","Завантажити сертифікат")</f>
        <v>Завантажити сертифікат</v>
      </c>
    </row>
    <row r="3289" spans="1:6" ht="28.8" x14ac:dyDescent="0.3">
      <c r="A3289" s="2">
        <v>3288</v>
      </c>
      <c r="B3289" s="1" t="s">
        <v>6978</v>
      </c>
      <c r="C3289" s="1" t="s">
        <v>6979</v>
      </c>
      <c r="D3289" s="1" t="s">
        <v>6980</v>
      </c>
      <c r="E3289" s="1" t="s">
        <v>6981</v>
      </c>
      <c r="F3289" s="1" t="str">
        <f>HYPERLINK("https://talan.bank.gov.ua/get-user-certificate/J5325DRUU0BD9bB6VrQY","Завантажити сертифікат")</f>
        <v>Завантажити сертифікат</v>
      </c>
    </row>
    <row r="3290" spans="1:6" ht="28.8" x14ac:dyDescent="0.3">
      <c r="A3290" s="2">
        <v>3289</v>
      </c>
      <c r="B3290" s="1" t="s">
        <v>6982</v>
      </c>
      <c r="C3290" s="1" t="s">
        <v>6979</v>
      </c>
      <c r="D3290" s="1" t="s">
        <v>6980</v>
      </c>
      <c r="E3290" s="1" t="s">
        <v>6983</v>
      </c>
      <c r="F3290" s="1" t="str">
        <f>HYPERLINK("https://talan.bank.gov.ua/get-user-certificate/J53250oD0PINYZL0zSzQ","Завантажити сертифікат")</f>
        <v>Завантажити сертифікат</v>
      </c>
    </row>
    <row r="3291" spans="1:6" ht="28.8" x14ac:dyDescent="0.3">
      <c r="A3291" s="2">
        <v>3290</v>
      </c>
      <c r="B3291" s="1" t="s">
        <v>6984</v>
      </c>
      <c r="C3291" s="1" t="s">
        <v>6979</v>
      </c>
      <c r="D3291" s="1" t="s">
        <v>6980</v>
      </c>
      <c r="E3291" s="1" t="s">
        <v>6985</v>
      </c>
      <c r="F3291" s="1" t="str">
        <f>HYPERLINK("https://talan.bank.gov.ua/get-user-certificate/J53251JP7nUBnZIoXQj8","Завантажити сертифікат")</f>
        <v>Завантажити сертифікат</v>
      </c>
    </row>
    <row r="3292" spans="1:6" ht="28.8" x14ac:dyDescent="0.3">
      <c r="A3292" s="2">
        <v>3291</v>
      </c>
      <c r="B3292" s="1" t="s">
        <v>6986</v>
      </c>
      <c r="C3292" s="1" t="s">
        <v>6979</v>
      </c>
      <c r="D3292" s="1" t="s">
        <v>6980</v>
      </c>
      <c r="E3292" s="1" t="s">
        <v>6987</v>
      </c>
      <c r="F3292" s="1" t="str">
        <f>HYPERLINK("https://talan.bank.gov.ua/get-user-certificate/J5325TNrnhoyefY9Duht","Завантажити сертифікат")</f>
        <v>Завантажити сертифікат</v>
      </c>
    </row>
    <row r="3293" spans="1:6" ht="28.8" x14ac:dyDescent="0.3">
      <c r="A3293" s="2">
        <v>3292</v>
      </c>
      <c r="B3293" s="1" t="s">
        <v>6988</v>
      </c>
      <c r="C3293" s="1" t="s">
        <v>6979</v>
      </c>
      <c r="D3293" s="1" t="s">
        <v>6980</v>
      </c>
      <c r="E3293" s="1" t="s">
        <v>6989</v>
      </c>
      <c r="F3293" s="1" t="str">
        <f>HYPERLINK("https://talan.bank.gov.ua/get-user-certificate/J53253-NI5Q2nDPjzPG9","Завантажити сертифікат")</f>
        <v>Завантажити сертифікат</v>
      </c>
    </row>
    <row r="3294" spans="1:6" ht="28.8" x14ac:dyDescent="0.3">
      <c r="A3294" s="2">
        <v>3293</v>
      </c>
      <c r="B3294" s="1" t="s">
        <v>6990</v>
      </c>
      <c r="C3294" s="1" t="s">
        <v>6979</v>
      </c>
      <c r="D3294" s="1" t="s">
        <v>6980</v>
      </c>
      <c r="E3294" s="1" t="s">
        <v>6991</v>
      </c>
      <c r="F3294" s="1" t="str">
        <f>HYPERLINK("https://talan.bank.gov.ua/get-user-certificate/J5325Hg5LcjIP_Z5gwY7","Завантажити сертифікат")</f>
        <v>Завантажити сертифікат</v>
      </c>
    </row>
    <row r="3295" spans="1:6" ht="28.8" x14ac:dyDescent="0.3">
      <c r="A3295" s="2">
        <v>3294</v>
      </c>
      <c r="B3295" s="1" t="s">
        <v>6992</v>
      </c>
      <c r="C3295" s="1" t="s">
        <v>6979</v>
      </c>
      <c r="D3295" s="1" t="s">
        <v>6980</v>
      </c>
      <c r="E3295" s="1" t="s">
        <v>6993</v>
      </c>
      <c r="F3295" s="1" t="str">
        <f>HYPERLINK("https://talan.bank.gov.ua/get-user-certificate/J53258Swum9Da_Hj-QZz","Завантажити сертифікат")</f>
        <v>Завантажити сертифікат</v>
      </c>
    </row>
    <row r="3296" spans="1:6" ht="28.8" x14ac:dyDescent="0.3">
      <c r="A3296" s="2">
        <v>3295</v>
      </c>
      <c r="B3296" s="1" t="s">
        <v>6994</v>
      </c>
      <c r="C3296" s="1" t="s">
        <v>6979</v>
      </c>
      <c r="D3296" s="1" t="s">
        <v>6980</v>
      </c>
      <c r="E3296" s="1" t="s">
        <v>6995</v>
      </c>
      <c r="F3296" s="1" t="str">
        <f>HYPERLINK("https://talan.bank.gov.ua/get-user-certificate/J5325w63BZvqbsz2tEMy","Завантажити сертифікат")</f>
        <v>Завантажити сертифікат</v>
      </c>
    </row>
    <row r="3297" spans="1:6" ht="28.8" x14ac:dyDescent="0.3">
      <c r="A3297" s="2">
        <v>3296</v>
      </c>
      <c r="B3297" s="1" t="s">
        <v>6996</v>
      </c>
      <c r="C3297" s="1" t="s">
        <v>6979</v>
      </c>
      <c r="D3297" s="1" t="s">
        <v>6980</v>
      </c>
      <c r="E3297" s="1" t="s">
        <v>6997</v>
      </c>
      <c r="F3297" s="1" t="str">
        <f>HYPERLINK("https://talan.bank.gov.ua/get-user-certificate/J53250u-0lslLQwtArGh","Завантажити сертифікат")</f>
        <v>Завантажити сертифікат</v>
      </c>
    </row>
    <row r="3298" spans="1:6" ht="28.8" x14ac:dyDescent="0.3">
      <c r="A3298" s="2">
        <v>3297</v>
      </c>
      <c r="B3298" s="1" t="s">
        <v>6998</v>
      </c>
      <c r="C3298" s="1" t="s">
        <v>6979</v>
      </c>
      <c r="D3298" s="1" t="s">
        <v>6980</v>
      </c>
      <c r="E3298" s="1" t="s">
        <v>6999</v>
      </c>
      <c r="F3298" s="1" t="str">
        <f>HYPERLINK("https://talan.bank.gov.ua/get-user-certificate/J5325AHcYNAfIBomERH5","Завантажити сертифікат")</f>
        <v>Завантажити сертифікат</v>
      </c>
    </row>
    <row r="3299" spans="1:6" ht="28.8" x14ac:dyDescent="0.3">
      <c r="A3299" s="2">
        <v>3298</v>
      </c>
      <c r="B3299" s="1" t="s">
        <v>7000</v>
      </c>
      <c r="C3299" s="1" t="s">
        <v>6979</v>
      </c>
      <c r="D3299" s="1" t="s">
        <v>6980</v>
      </c>
      <c r="E3299" s="1" t="s">
        <v>7001</v>
      </c>
      <c r="F3299" s="1" t="str">
        <f>HYPERLINK("https://talan.bank.gov.ua/get-user-certificate/J5325DWTa4C6UZV_bZIR","Завантажити сертифікат")</f>
        <v>Завантажити сертифікат</v>
      </c>
    </row>
    <row r="3300" spans="1:6" ht="28.8" x14ac:dyDescent="0.3">
      <c r="A3300" s="2">
        <v>3299</v>
      </c>
      <c r="B3300" s="1" t="s">
        <v>7002</v>
      </c>
      <c r="C3300" s="1" t="s">
        <v>6979</v>
      </c>
      <c r="D3300" s="1" t="s">
        <v>6980</v>
      </c>
      <c r="E3300" s="1" t="s">
        <v>7003</v>
      </c>
      <c r="F3300" s="1" t="str">
        <f>HYPERLINK("https://talan.bank.gov.ua/get-user-certificate/J5325sXZsRKpuiLIN5Yq","Завантажити сертифікат")</f>
        <v>Завантажити сертифікат</v>
      </c>
    </row>
    <row r="3301" spans="1:6" ht="28.8" x14ac:dyDescent="0.3">
      <c r="A3301" s="2">
        <v>3300</v>
      </c>
      <c r="B3301" s="1" t="s">
        <v>7004</v>
      </c>
      <c r="C3301" s="1" t="s">
        <v>6979</v>
      </c>
      <c r="D3301" s="1" t="s">
        <v>6980</v>
      </c>
      <c r="E3301" s="1" t="s">
        <v>7005</v>
      </c>
      <c r="F3301" s="1" t="str">
        <f>HYPERLINK("https://talan.bank.gov.ua/get-user-certificate/J5325n3fXZGG0Y0P16JP","Завантажити сертифікат")</f>
        <v>Завантажити сертифікат</v>
      </c>
    </row>
    <row r="3302" spans="1:6" ht="28.8" x14ac:dyDescent="0.3">
      <c r="A3302" s="2">
        <v>3301</v>
      </c>
      <c r="B3302" s="1" t="s">
        <v>7006</v>
      </c>
      <c r="C3302" s="1" t="s">
        <v>7007</v>
      </c>
      <c r="D3302" s="1" t="s">
        <v>7008</v>
      </c>
      <c r="E3302" s="1" t="s">
        <v>7009</v>
      </c>
      <c r="F3302" s="1" t="str">
        <f>HYPERLINK("https://talan.bank.gov.ua/get-user-certificate/J5325Hu06eTTaNDPL7zV","Завантажити сертифікат")</f>
        <v>Завантажити сертифікат</v>
      </c>
    </row>
    <row r="3303" spans="1:6" ht="28.8" x14ac:dyDescent="0.3">
      <c r="A3303" s="2">
        <v>3302</v>
      </c>
      <c r="B3303" s="1" t="s">
        <v>7010</v>
      </c>
      <c r="C3303" s="1" t="s">
        <v>7007</v>
      </c>
      <c r="D3303" s="1" t="s">
        <v>7008</v>
      </c>
      <c r="E3303" s="1" t="s">
        <v>7011</v>
      </c>
      <c r="F3303" s="1" t="str">
        <f>HYPERLINK("https://talan.bank.gov.ua/get-user-certificate/J5325bi__CYbsTzJMWkK","Завантажити сертифікат")</f>
        <v>Завантажити сертифікат</v>
      </c>
    </row>
    <row r="3304" spans="1:6" ht="28.8" x14ac:dyDescent="0.3">
      <c r="A3304" s="2">
        <v>3303</v>
      </c>
      <c r="B3304" s="1" t="s">
        <v>7012</v>
      </c>
      <c r="C3304" s="1" t="s">
        <v>7007</v>
      </c>
      <c r="D3304" s="1" t="s">
        <v>7008</v>
      </c>
      <c r="E3304" s="1" t="s">
        <v>7013</v>
      </c>
      <c r="F3304" s="1" t="str">
        <f>HYPERLINK("https://talan.bank.gov.ua/get-user-certificate/J53253iOpYd-mH9nHmJr","Завантажити сертифікат")</f>
        <v>Завантажити сертифікат</v>
      </c>
    </row>
    <row r="3305" spans="1:6" ht="28.8" x14ac:dyDescent="0.3">
      <c r="A3305" s="2">
        <v>3304</v>
      </c>
      <c r="B3305" s="1" t="s">
        <v>7014</v>
      </c>
      <c r="C3305" s="1" t="s">
        <v>7007</v>
      </c>
      <c r="D3305" s="1" t="s">
        <v>7008</v>
      </c>
      <c r="E3305" s="1" t="s">
        <v>7015</v>
      </c>
      <c r="F3305" s="1" t="str">
        <f>HYPERLINK("https://talan.bank.gov.ua/get-user-certificate/J5325pyrerQnSxqGg2Yz","Завантажити сертифікат")</f>
        <v>Завантажити сертифікат</v>
      </c>
    </row>
    <row r="3306" spans="1:6" ht="28.8" x14ac:dyDescent="0.3">
      <c r="A3306" s="2">
        <v>3305</v>
      </c>
      <c r="B3306" s="1" t="s">
        <v>7016</v>
      </c>
      <c r="C3306" s="1" t="s">
        <v>7007</v>
      </c>
      <c r="D3306" s="1" t="s">
        <v>7008</v>
      </c>
      <c r="E3306" s="1" t="s">
        <v>7017</v>
      </c>
      <c r="F3306" s="1" t="str">
        <f>HYPERLINK("https://talan.bank.gov.ua/get-user-certificate/J5325cDwkz5yxxzJUxEd","Завантажити сертифікат")</f>
        <v>Завантажити сертифікат</v>
      </c>
    </row>
    <row r="3307" spans="1:6" ht="28.8" x14ac:dyDescent="0.3">
      <c r="A3307" s="2">
        <v>3306</v>
      </c>
      <c r="B3307" s="1" t="s">
        <v>7018</v>
      </c>
      <c r="C3307" s="1" t="s">
        <v>7007</v>
      </c>
      <c r="D3307" s="1" t="s">
        <v>7008</v>
      </c>
      <c r="E3307" s="1" t="s">
        <v>7019</v>
      </c>
      <c r="F3307" s="1" t="str">
        <f>HYPERLINK("https://talan.bank.gov.ua/get-user-certificate/J5325Bo6rHIDXt-5JWxT","Завантажити сертифікат")</f>
        <v>Завантажити сертифікат</v>
      </c>
    </row>
    <row r="3308" spans="1:6" ht="28.8" x14ac:dyDescent="0.3">
      <c r="A3308" s="2">
        <v>3307</v>
      </c>
      <c r="B3308" s="1" t="s">
        <v>7020</v>
      </c>
      <c r="C3308" s="1" t="s">
        <v>7007</v>
      </c>
      <c r="D3308" s="1" t="s">
        <v>7008</v>
      </c>
      <c r="E3308" s="1" t="s">
        <v>7021</v>
      </c>
      <c r="F3308" s="1" t="str">
        <f>HYPERLINK("https://talan.bank.gov.ua/get-user-certificate/J53250N3QQZsLdeukdPV","Завантажити сертифікат")</f>
        <v>Завантажити сертифікат</v>
      </c>
    </row>
    <row r="3309" spans="1:6" ht="28.8" x14ac:dyDescent="0.3">
      <c r="A3309" s="2">
        <v>3308</v>
      </c>
      <c r="B3309" s="1" t="s">
        <v>7022</v>
      </c>
      <c r="C3309" s="1" t="s">
        <v>7007</v>
      </c>
      <c r="D3309" s="1" t="s">
        <v>7008</v>
      </c>
      <c r="E3309" s="1" t="s">
        <v>7023</v>
      </c>
      <c r="F3309" s="1" t="str">
        <f>HYPERLINK("https://talan.bank.gov.ua/get-user-certificate/J5325zF8bnZUpYSsoD12","Завантажити сертифікат")</f>
        <v>Завантажити сертифікат</v>
      </c>
    </row>
    <row r="3310" spans="1:6" ht="28.8" x14ac:dyDescent="0.3">
      <c r="A3310" s="2">
        <v>3309</v>
      </c>
      <c r="B3310" s="1" t="s">
        <v>7024</v>
      </c>
      <c r="C3310" s="1" t="s">
        <v>7007</v>
      </c>
      <c r="D3310" s="1" t="s">
        <v>7008</v>
      </c>
      <c r="E3310" s="1" t="s">
        <v>7025</v>
      </c>
      <c r="F3310" s="1" t="str">
        <f>HYPERLINK("https://talan.bank.gov.ua/get-user-certificate/J5325YzVqCDQjWdq7W6a","Завантажити сертифікат")</f>
        <v>Завантажити сертифікат</v>
      </c>
    </row>
    <row r="3311" spans="1:6" ht="28.8" x14ac:dyDescent="0.3">
      <c r="A3311" s="2">
        <v>3310</v>
      </c>
      <c r="B3311" s="1" t="s">
        <v>7026</v>
      </c>
      <c r="C3311" s="1" t="s">
        <v>7007</v>
      </c>
      <c r="D3311" s="1" t="s">
        <v>7008</v>
      </c>
      <c r="E3311" s="1" t="s">
        <v>7027</v>
      </c>
      <c r="F3311" s="1" t="str">
        <f>HYPERLINK("https://talan.bank.gov.ua/get-user-certificate/J5325pl662sPgmKsdCKl","Завантажити сертифікат")</f>
        <v>Завантажити сертифікат</v>
      </c>
    </row>
    <row r="3312" spans="1:6" ht="43.2" x14ac:dyDescent="0.3">
      <c r="A3312" s="2">
        <v>3311</v>
      </c>
      <c r="B3312" s="1" t="s">
        <v>7028</v>
      </c>
      <c r="C3312" s="1" t="s">
        <v>7029</v>
      </c>
      <c r="D3312" s="1" t="s">
        <v>7030</v>
      </c>
      <c r="E3312" s="1" t="s">
        <v>7031</v>
      </c>
      <c r="F3312" s="1" t="str">
        <f>HYPERLINK("https://talan.bank.gov.ua/get-user-certificate/J5325qW20Kebz6zMyobc","Завантажити сертифікат")</f>
        <v>Завантажити сертифікат</v>
      </c>
    </row>
    <row r="3313" spans="1:6" ht="43.2" x14ac:dyDescent="0.3">
      <c r="A3313" s="2">
        <v>3312</v>
      </c>
      <c r="B3313" s="1" t="s">
        <v>7032</v>
      </c>
      <c r="C3313" s="1" t="s">
        <v>7029</v>
      </c>
      <c r="D3313" s="1" t="s">
        <v>7030</v>
      </c>
      <c r="E3313" s="1" t="s">
        <v>7033</v>
      </c>
      <c r="F3313" s="1" t="str">
        <f>HYPERLINK("https://talan.bank.gov.ua/get-user-certificate/J53257VilJG4sM2k_PdG","Завантажити сертифікат")</f>
        <v>Завантажити сертифікат</v>
      </c>
    </row>
    <row r="3314" spans="1:6" ht="43.2" x14ac:dyDescent="0.3">
      <c r="A3314" s="2">
        <v>3313</v>
      </c>
      <c r="B3314" s="1" t="s">
        <v>7034</v>
      </c>
      <c r="C3314" s="1" t="s">
        <v>7029</v>
      </c>
      <c r="D3314" s="1" t="s">
        <v>7030</v>
      </c>
      <c r="E3314" s="1" t="s">
        <v>7035</v>
      </c>
      <c r="F3314" s="1" t="str">
        <f>HYPERLINK("https://talan.bank.gov.ua/get-user-certificate/J5325E0VRQRazzi5u6Sg","Завантажити сертифікат")</f>
        <v>Завантажити сертифікат</v>
      </c>
    </row>
    <row r="3315" spans="1:6" ht="28.8" x14ac:dyDescent="0.3">
      <c r="A3315" s="2">
        <v>3314</v>
      </c>
      <c r="B3315" s="1" t="s">
        <v>7036</v>
      </c>
      <c r="C3315" s="1" t="s">
        <v>7037</v>
      </c>
      <c r="D3315" s="1" t="s">
        <v>7038</v>
      </c>
      <c r="E3315" s="1" t="s">
        <v>7039</v>
      </c>
      <c r="F3315" s="1" t="str">
        <f>HYPERLINK("https://talan.bank.gov.ua/get-user-certificate/J5325ymRRwh7zEtaQUCY","Завантажити сертифікат")</f>
        <v>Завантажити сертифікат</v>
      </c>
    </row>
    <row r="3316" spans="1:6" ht="28.8" x14ac:dyDescent="0.3">
      <c r="A3316" s="2">
        <v>3315</v>
      </c>
      <c r="B3316" s="1" t="s">
        <v>7040</v>
      </c>
      <c r="C3316" s="1" t="s">
        <v>7037</v>
      </c>
      <c r="D3316" s="1" t="s">
        <v>7038</v>
      </c>
      <c r="E3316" s="1" t="s">
        <v>7041</v>
      </c>
      <c r="F3316" s="1" t="str">
        <f>HYPERLINK("https://talan.bank.gov.ua/get-user-certificate/J5325VlrNd2R5e0mJS4c","Завантажити сертифікат")</f>
        <v>Завантажити сертифікат</v>
      </c>
    </row>
    <row r="3317" spans="1:6" ht="28.8" x14ac:dyDescent="0.3">
      <c r="A3317" s="2">
        <v>3316</v>
      </c>
      <c r="B3317" s="1" t="s">
        <v>7042</v>
      </c>
      <c r="C3317" s="1" t="s">
        <v>7037</v>
      </c>
      <c r="D3317" s="1" t="s">
        <v>7038</v>
      </c>
      <c r="E3317" s="1" t="s">
        <v>7043</v>
      </c>
      <c r="F3317" s="1" t="str">
        <f>HYPERLINK("https://talan.bank.gov.ua/get-user-certificate/J5325UwGo5Vy5qiPpxPx","Завантажити сертифікат")</f>
        <v>Завантажити сертифікат</v>
      </c>
    </row>
    <row r="3318" spans="1:6" ht="28.8" x14ac:dyDescent="0.3">
      <c r="A3318" s="2">
        <v>3317</v>
      </c>
      <c r="B3318" s="1" t="s">
        <v>7044</v>
      </c>
      <c r="C3318" s="1" t="s">
        <v>7037</v>
      </c>
      <c r="D3318" s="1" t="s">
        <v>7038</v>
      </c>
      <c r="E3318" s="1" t="s">
        <v>7045</v>
      </c>
      <c r="F3318" s="1" t="str">
        <f>HYPERLINK("https://talan.bank.gov.ua/get-user-certificate/J53257GOhrrxWGkLriGr","Завантажити сертифікат")</f>
        <v>Завантажити сертифікат</v>
      </c>
    </row>
    <row r="3319" spans="1:6" ht="28.8" x14ac:dyDescent="0.3">
      <c r="A3319" s="2">
        <v>3318</v>
      </c>
      <c r="B3319" s="1" t="s">
        <v>7046</v>
      </c>
      <c r="C3319" s="1" t="s">
        <v>7037</v>
      </c>
      <c r="D3319" s="1" t="s">
        <v>7038</v>
      </c>
      <c r="E3319" s="1" t="s">
        <v>7047</v>
      </c>
      <c r="F3319" s="1" t="str">
        <f>HYPERLINK("https://talan.bank.gov.ua/get-user-certificate/J5325zDIg8_0LjQDZclS","Завантажити сертифікат")</f>
        <v>Завантажити сертифікат</v>
      </c>
    </row>
    <row r="3320" spans="1:6" ht="28.8" x14ac:dyDescent="0.3">
      <c r="A3320" s="2">
        <v>3319</v>
      </c>
      <c r="B3320" s="1" t="s">
        <v>7048</v>
      </c>
      <c r="C3320" s="1" t="s">
        <v>7037</v>
      </c>
      <c r="D3320" s="1" t="s">
        <v>7038</v>
      </c>
      <c r="E3320" s="1" t="s">
        <v>7049</v>
      </c>
      <c r="F3320" s="1" t="str">
        <f>HYPERLINK("https://talan.bank.gov.ua/get-user-certificate/J5325CWDbo3jmGmTTpE7","Завантажити сертифікат")</f>
        <v>Завантажити сертифікат</v>
      </c>
    </row>
    <row r="3321" spans="1:6" ht="28.8" x14ac:dyDescent="0.3">
      <c r="A3321" s="2">
        <v>3320</v>
      </c>
      <c r="B3321" s="1" t="s">
        <v>7050</v>
      </c>
      <c r="C3321" s="1" t="s">
        <v>7037</v>
      </c>
      <c r="D3321" s="1" t="s">
        <v>7038</v>
      </c>
      <c r="E3321" s="1" t="s">
        <v>7051</v>
      </c>
      <c r="F3321" s="1" t="str">
        <f>HYPERLINK("https://talan.bank.gov.ua/get-user-certificate/J53255Tf5ALuBHBb5YZG","Завантажити сертифікат")</f>
        <v>Завантажити сертифікат</v>
      </c>
    </row>
    <row r="3322" spans="1:6" ht="28.8" x14ac:dyDescent="0.3">
      <c r="A3322" s="2">
        <v>3321</v>
      </c>
      <c r="B3322" s="1" t="s">
        <v>7052</v>
      </c>
      <c r="C3322" s="1" t="s">
        <v>7037</v>
      </c>
      <c r="D3322" s="1" t="s">
        <v>7038</v>
      </c>
      <c r="E3322" s="1" t="s">
        <v>7053</v>
      </c>
      <c r="F3322" s="1" t="str">
        <f>HYPERLINK("https://talan.bank.gov.ua/get-user-certificate/J5325ew1KCOieG78hL8G","Завантажити сертифікат")</f>
        <v>Завантажити сертифікат</v>
      </c>
    </row>
    <row r="3323" spans="1:6" ht="28.8" x14ac:dyDescent="0.3">
      <c r="A3323" s="2">
        <v>3322</v>
      </c>
      <c r="B3323" s="1" t="s">
        <v>7054</v>
      </c>
      <c r="C3323" s="1" t="s">
        <v>7037</v>
      </c>
      <c r="D3323" s="1" t="s">
        <v>7038</v>
      </c>
      <c r="E3323" s="1" t="s">
        <v>7055</v>
      </c>
      <c r="F3323" s="1" t="str">
        <f>HYPERLINK("https://talan.bank.gov.ua/get-user-certificate/J53259t1IEcpEneo9plA","Завантажити сертифікат")</f>
        <v>Завантажити сертифікат</v>
      </c>
    </row>
    <row r="3324" spans="1:6" ht="28.8" x14ac:dyDescent="0.3">
      <c r="A3324" s="2">
        <v>3323</v>
      </c>
      <c r="B3324" s="1" t="s">
        <v>7056</v>
      </c>
      <c r="C3324" s="1" t="s">
        <v>7037</v>
      </c>
      <c r="D3324" s="1" t="s">
        <v>7038</v>
      </c>
      <c r="E3324" s="1" t="s">
        <v>7057</v>
      </c>
      <c r="F3324" s="1" t="str">
        <f>HYPERLINK("https://talan.bank.gov.ua/get-user-certificate/J5325I-oFtUPFUrvv5oe","Завантажити сертифікат")</f>
        <v>Завантажити сертифікат</v>
      </c>
    </row>
    <row r="3325" spans="1:6" ht="28.8" x14ac:dyDescent="0.3">
      <c r="A3325" s="2">
        <v>3324</v>
      </c>
      <c r="B3325" s="1" t="s">
        <v>7058</v>
      </c>
      <c r="C3325" s="1" t="s">
        <v>7037</v>
      </c>
      <c r="D3325" s="1" t="s">
        <v>7038</v>
      </c>
      <c r="E3325" s="1" t="s">
        <v>7059</v>
      </c>
      <c r="F3325" s="1" t="str">
        <f>HYPERLINK("https://talan.bank.gov.ua/get-user-certificate/J5325Hn1ApUJZHk9PI13","Завантажити сертифікат")</f>
        <v>Завантажити сертифікат</v>
      </c>
    </row>
    <row r="3326" spans="1:6" ht="28.8" x14ac:dyDescent="0.3">
      <c r="A3326" s="2">
        <v>3325</v>
      </c>
      <c r="B3326" s="1" t="s">
        <v>7060</v>
      </c>
      <c r="C3326" s="1" t="s">
        <v>7037</v>
      </c>
      <c r="D3326" s="1" t="s">
        <v>7038</v>
      </c>
      <c r="E3326" s="1" t="s">
        <v>7061</v>
      </c>
      <c r="F3326" s="1" t="str">
        <f>HYPERLINK("https://talan.bank.gov.ua/get-user-certificate/J5325u1gLpwBq9sL8-9Y","Завантажити сертифікат")</f>
        <v>Завантажити сертифікат</v>
      </c>
    </row>
    <row r="3327" spans="1:6" ht="28.8" x14ac:dyDescent="0.3">
      <c r="A3327" s="2">
        <v>3326</v>
      </c>
      <c r="B3327" s="1" t="s">
        <v>7062</v>
      </c>
      <c r="C3327" s="1" t="s">
        <v>7037</v>
      </c>
      <c r="D3327" s="1" t="s">
        <v>7038</v>
      </c>
      <c r="E3327" s="1" t="s">
        <v>7063</v>
      </c>
      <c r="F3327" s="1" t="str">
        <f>HYPERLINK("https://talan.bank.gov.ua/get-user-certificate/J5325CyOYMjsb-NIQP0v","Завантажити сертифікат")</f>
        <v>Завантажити сертифікат</v>
      </c>
    </row>
    <row r="3328" spans="1:6" ht="28.8" x14ac:dyDescent="0.3">
      <c r="A3328" s="2">
        <v>3327</v>
      </c>
      <c r="B3328" s="1" t="s">
        <v>7064</v>
      </c>
      <c r="C3328" s="1" t="s">
        <v>7037</v>
      </c>
      <c r="D3328" s="1" t="s">
        <v>7038</v>
      </c>
      <c r="E3328" s="1" t="s">
        <v>7065</v>
      </c>
      <c r="F3328" s="1" t="str">
        <f>HYPERLINK("https://talan.bank.gov.ua/get-user-certificate/J5325pPUFfNKk8nn2NAF","Завантажити сертифікат")</f>
        <v>Завантажити сертифікат</v>
      </c>
    </row>
    <row r="3329" spans="1:6" ht="28.8" x14ac:dyDescent="0.3">
      <c r="A3329" s="2">
        <v>3328</v>
      </c>
      <c r="B3329" s="1" t="s">
        <v>7066</v>
      </c>
      <c r="C3329" s="1" t="s">
        <v>7037</v>
      </c>
      <c r="D3329" s="1" t="s">
        <v>7038</v>
      </c>
      <c r="E3329" s="1" t="s">
        <v>7067</v>
      </c>
      <c r="F3329" s="1" t="str">
        <f>HYPERLINK("https://talan.bank.gov.ua/get-user-certificate/J5325NrHTDh-YZYU2Uxu","Завантажити сертифікат")</f>
        <v>Завантажити сертифікат</v>
      </c>
    </row>
    <row r="3330" spans="1:6" ht="28.8" x14ac:dyDescent="0.3">
      <c r="A3330" s="2">
        <v>3329</v>
      </c>
      <c r="B3330" s="1" t="s">
        <v>7068</v>
      </c>
      <c r="C3330" s="1" t="s">
        <v>7037</v>
      </c>
      <c r="D3330" s="1" t="s">
        <v>7038</v>
      </c>
      <c r="E3330" s="1" t="s">
        <v>7069</v>
      </c>
      <c r="F3330" s="1" t="str">
        <f>HYPERLINK("https://talan.bank.gov.ua/get-user-certificate/J5325VzHCdI-mMQBWi-d","Завантажити сертифікат")</f>
        <v>Завантажити сертифікат</v>
      </c>
    </row>
    <row r="3331" spans="1:6" ht="28.8" x14ac:dyDescent="0.3">
      <c r="A3331" s="2">
        <v>3330</v>
      </c>
      <c r="B3331" s="1" t="s">
        <v>7070</v>
      </c>
      <c r="C3331" s="1" t="s">
        <v>7037</v>
      </c>
      <c r="D3331" s="1" t="s">
        <v>7038</v>
      </c>
      <c r="E3331" s="1" t="s">
        <v>7071</v>
      </c>
      <c r="F3331" s="1" t="str">
        <f>HYPERLINK("https://talan.bank.gov.ua/get-user-certificate/J5325uj0-JFht8qNq2hU","Завантажити сертифікат")</f>
        <v>Завантажити сертифікат</v>
      </c>
    </row>
    <row r="3332" spans="1:6" ht="28.8" x14ac:dyDescent="0.3">
      <c r="A3332" s="2">
        <v>3331</v>
      </c>
      <c r="B3332" s="1" t="s">
        <v>7072</v>
      </c>
      <c r="C3332" s="1" t="s">
        <v>7037</v>
      </c>
      <c r="D3332" s="1" t="s">
        <v>7038</v>
      </c>
      <c r="E3332" s="1" t="s">
        <v>7073</v>
      </c>
      <c r="F3332" s="1" t="str">
        <f>HYPERLINK("https://talan.bank.gov.ua/get-user-certificate/J5325QaXX-KzdNezneH_","Завантажити сертифікат")</f>
        <v>Завантажити сертифікат</v>
      </c>
    </row>
    <row r="3333" spans="1:6" ht="28.8" x14ac:dyDescent="0.3">
      <c r="A3333" s="2">
        <v>3332</v>
      </c>
      <c r="B3333" s="1" t="s">
        <v>7074</v>
      </c>
      <c r="C3333" s="1" t="s">
        <v>7037</v>
      </c>
      <c r="D3333" s="1" t="s">
        <v>7038</v>
      </c>
      <c r="E3333" s="1" t="s">
        <v>7075</v>
      </c>
      <c r="F3333" s="1" t="str">
        <f>HYPERLINK("https://talan.bank.gov.ua/get-user-certificate/J5325AapdP_emDexLSOH","Завантажити сертифікат")</f>
        <v>Завантажити сертифікат</v>
      </c>
    </row>
    <row r="3334" spans="1:6" ht="28.8" x14ac:dyDescent="0.3">
      <c r="A3334" s="2">
        <v>3333</v>
      </c>
      <c r="B3334" s="1" t="s">
        <v>7076</v>
      </c>
      <c r="C3334" s="1" t="s">
        <v>7037</v>
      </c>
      <c r="D3334" s="1" t="s">
        <v>7038</v>
      </c>
      <c r="E3334" s="1" t="s">
        <v>7077</v>
      </c>
      <c r="F3334" s="1" t="str">
        <f>HYPERLINK("https://talan.bank.gov.ua/get-user-certificate/J5325ghcL5JxMJP6jemg","Завантажити сертифікат")</f>
        <v>Завантажити сертифікат</v>
      </c>
    </row>
    <row r="3335" spans="1:6" ht="28.8" x14ac:dyDescent="0.3">
      <c r="A3335" s="2">
        <v>3334</v>
      </c>
      <c r="B3335" s="1" t="s">
        <v>7078</v>
      </c>
      <c r="C3335" s="1" t="s">
        <v>7037</v>
      </c>
      <c r="D3335" s="1" t="s">
        <v>7038</v>
      </c>
      <c r="E3335" s="1" t="s">
        <v>7079</v>
      </c>
      <c r="F3335" s="1" t="str">
        <f>HYPERLINK("https://talan.bank.gov.ua/get-user-certificate/J5325MwpIFxLq6mTJs92","Завантажити сертифікат")</f>
        <v>Завантажити сертифікат</v>
      </c>
    </row>
    <row r="3336" spans="1:6" ht="28.8" x14ac:dyDescent="0.3">
      <c r="A3336" s="2">
        <v>3335</v>
      </c>
      <c r="B3336" s="1" t="s">
        <v>7080</v>
      </c>
      <c r="C3336" s="1" t="s">
        <v>7037</v>
      </c>
      <c r="D3336" s="1" t="s">
        <v>7038</v>
      </c>
      <c r="E3336" s="1" t="s">
        <v>7081</v>
      </c>
      <c r="F3336" s="1" t="str">
        <f>HYPERLINK("https://talan.bank.gov.ua/get-user-certificate/J5325PMJJdD1ZEqMRut5","Завантажити сертифікат")</f>
        <v>Завантажити сертифікат</v>
      </c>
    </row>
    <row r="3337" spans="1:6" ht="28.8" x14ac:dyDescent="0.3">
      <c r="A3337" s="2">
        <v>3336</v>
      </c>
      <c r="B3337" s="1" t="s">
        <v>7082</v>
      </c>
      <c r="C3337" s="1" t="s">
        <v>7037</v>
      </c>
      <c r="D3337" s="1" t="s">
        <v>7038</v>
      </c>
      <c r="E3337" s="1" t="s">
        <v>7083</v>
      </c>
      <c r="F3337" s="1" t="str">
        <f>HYPERLINK("https://talan.bank.gov.ua/get-user-certificate/J5325pHy8WFSJ-8ltJd2","Завантажити сертифікат")</f>
        <v>Завантажити сертифікат</v>
      </c>
    </row>
    <row r="3338" spans="1:6" ht="28.8" x14ac:dyDescent="0.3">
      <c r="A3338" s="2">
        <v>3337</v>
      </c>
      <c r="B3338" s="1" t="s">
        <v>7084</v>
      </c>
      <c r="C3338" s="1" t="s">
        <v>7037</v>
      </c>
      <c r="D3338" s="1" t="s">
        <v>7038</v>
      </c>
      <c r="E3338" s="1" t="s">
        <v>7085</v>
      </c>
      <c r="F3338" s="1" t="str">
        <f>HYPERLINK("https://talan.bank.gov.ua/get-user-certificate/J5325-3RU-4wctjvtG1T","Завантажити сертифікат")</f>
        <v>Завантажити сертифікат</v>
      </c>
    </row>
    <row r="3339" spans="1:6" ht="28.8" x14ac:dyDescent="0.3">
      <c r="A3339" s="2">
        <v>3338</v>
      </c>
      <c r="B3339" s="1" t="s">
        <v>7086</v>
      </c>
      <c r="C3339" s="1" t="s">
        <v>7037</v>
      </c>
      <c r="D3339" s="1" t="s">
        <v>7038</v>
      </c>
      <c r="E3339" s="1" t="s">
        <v>7087</v>
      </c>
      <c r="F3339" s="1" t="str">
        <f>HYPERLINK("https://talan.bank.gov.ua/get-user-certificate/J5325jScnjIH4pf4w7ok","Завантажити сертифікат")</f>
        <v>Завантажити сертифікат</v>
      </c>
    </row>
    <row r="3340" spans="1:6" ht="28.8" x14ac:dyDescent="0.3">
      <c r="A3340" s="2">
        <v>3339</v>
      </c>
      <c r="B3340" s="1" t="s">
        <v>7088</v>
      </c>
      <c r="C3340" s="1" t="s">
        <v>7037</v>
      </c>
      <c r="D3340" s="1" t="s">
        <v>7038</v>
      </c>
      <c r="E3340" s="1" t="s">
        <v>7089</v>
      </c>
      <c r="F3340" s="1" t="str">
        <f>HYPERLINK("https://talan.bank.gov.ua/get-user-certificate/J5325ixk_k3DMxNGUGg-","Завантажити сертифікат")</f>
        <v>Завантажити сертифікат</v>
      </c>
    </row>
    <row r="3341" spans="1:6" ht="28.8" x14ac:dyDescent="0.3">
      <c r="A3341" s="2">
        <v>3340</v>
      </c>
      <c r="B3341" s="1" t="s">
        <v>7090</v>
      </c>
      <c r="C3341" s="1" t="s">
        <v>7037</v>
      </c>
      <c r="D3341" s="1" t="s">
        <v>7038</v>
      </c>
      <c r="E3341" s="1" t="s">
        <v>7091</v>
      </c>
      <c r="F3341" s="1" t="str">
        <f>HYPERLINK("https://talan.bank.gov.ua/get-user-certificate/J5325fgO73bm7f3dyQMX","Завантажити сертифікат")</f>
        <v>Завантажити сертифікат</v>
      </c>
    </row>
    <row r="3342" spans="1:6" ht="28.8" x14ac:dyDescent="0.3">
      <c r="A3342" s="2">
        <v>3341</v>
      </c>
      <c r="B3342" s="1" t="s">
        <v>7092</v>
      </c>
      <c r="C3342" s="1" t="s">
        <v>7037</v>
      </c>
      <c r="D3342" s="1" t="s">
        <v>7038</v>
      </c>
      <c r="E3342" s="1" t="s">
        <v>7093</v>
      </c>
      <c r="F3342" s="1" t="str">
        <f>HYPERLINK("https://talan.bank.gov.ua/get-user-certificate/J5325HKT_E7ZWfAuF3jC","Завантажити сертифікат")</f>
        <v>Завантажити сертифікат</v>
      </c>
    </row>
    <row r="3343" spans="1:6" ht="28.8" x14ac:dyDescent="0.3">
      <c r="A3343" s="2">
        <v>3342</v>
      </c>
      <c r="B3343" s="1" t="s">
        <v>7094</v>
      </c>
      <c r="C3343" s="1" t="s">
        <v>7037</v>
      </c>
      <c r="D3343" s="1" t="s">
        <v>7038</v>
      </c>
      <c r="E3343" s="1" t="s">
        <v>7095</v>
      </c>
      <c r="F3343" s="1" t="str">
        <f>HYPERLINK("https://talan.bank.gov.ua/get-user-certificate/J53250Nu5snipwuk4VV-","Завантажити сертифікат")</f>
        <v>Завантажити сертифікат</v>
      </c>
    </row>
    <row r="3344" spans="1:6" ht="28.8" x14ac:dyDescent="0.3">
      <c r="A3344" s="2">
        <v>3343</v>
      </c>
      <c r="B3344" s="1" t="s">
        <v>7096</v>
      </c>
      <c r="C3344" s="1" t="s">
        <v>7037</v>
      </c>
      <c r="D3344" s="1" t="s">
        <v>7038</v>
      </c>
      <c r="E3344" s="1" t="s">
        <v>7097</v>
      </c>
      <c r="F3344" s="1" t="str">
        <f>HYPERLINK("https://talan.bank.gov.ua/get-user-certificate/J5325jAV-olisLDCwK4z","Завантажити сертифікат")</f>
        <v>Завантажити сертифікат</v>
      </c>
    </row>
    <row r="3345" spans="1:6" ht="28.8" x14ac:dyDescent="0.3">
      <c r="A3345" s="2">
        <v>3344</v>
      </c>
      <c r="B3345" s="1" t="s">
        <v>7098</v>
      </c>
      <c r="C3345" s="1" t="s">
        <v>7037</v>
      </c>
      <c r="D3345" s="1" t="s">
        <v>7038</v>
      </c>
      <c r="E3345" s="1" t="s">
        <v>7099</v>
      </c>
      <c r="F3345" s="1" t="str">
        <f>HYPERLINK("https://talan.bank.gov.ua/get-user-certificate/J53252R0hUMZP9UGd2EL","Завантажити сертифікат")</f>
        <v>Завантажити сертифікат</v>
      </c>
    </row>
    <row r="3346" spans="1:6" ht="28.8" x14ac:dyDescent="0.3">
      <c r="A3346" s="2">
        <v>3345</v>
      </c>
      <c r="B3346" s="1" t="s">
        <v>7100</v>
      </c>
      <c r="C3346" s="1" t="s">
        <v>7037</v>
      </c>
      <c r="D3346" s="1" t="s">
        <v>7038</v>
      </c>
      <c r="E3346" s="1" t="s">
        <v>7101</v>
      </c>
      <c r="F3346" s="1" t="str">
        <f>HYPERLINK("https://talan.bank.gov.ua/get-user-certificate/J5325t3qOAsWkKd50YrR","Завантажити сертифікат")</f>
        <v>Завантажити сертифікат</v>
      </c>
    </row>
    <row r="3347" spans="1:6" ht="28.8" x14ac:dyDescent="0.3">
      <c r="A3347" s="2">
        <v>3346</v>
      </c>
      <c r="B3347" s="1" t="s">
        <v>7102</v>
      </c>
      <c r="C3347" s="1" t="s">
        <v>7037</v>
      </c>
      <c r="D3347" s="1" t="s">
        <v>7038</v>
      </c>
      <c r="E3347" s="1" t="s">
        <v>7103</v>
      </c>
      <c r="F3347" s="1" t="str">
        <f>HYPERLINK("https://talan.bank.gov.ua/get-user-certificate/J53255nNNKp1CaYu8Asg","Завантажити сертифікат")</f>
        <v>Завантажити сертифікат</v>
      </c>
    </row>
    <row r="3348" spans="1:6" ht="28.8" x14ac:dyDescent="0.3">
      <c r="A3348" s="2">
        <v>3347</v>
      </c>
      <c r="B3348" s="1" t="s">
        <v>7104</v>
      </c>
      <c r="C3348" s="1" t="s">
        <v>7037</v>
      </c>
      <c r="D3348" s="1" t="s">
        <v>7038</v>
      </c>
      <c r="E3348" s="1" t="s">
        <v>7105</v>
      </c>
      <c r="F3348" s="1" t="str">
        <f>HYPERLINK("https://talan.bank.gov.ua/get-user-certificate/J5325u3PqeVYGdAuKyjd","Завантажити сертифікат")</f>
        <v>Завантажити сертифікат</v>
      </c>
    </row>
    <row r="3349" spans="1:6" ht="28.8" x14ac:dyDescent="0.3">
      <c r="A3349" s="2">
        <v>3348</v>
      </c>
      <c r="B3349" s="1" t="s">
        <v>7106</v>
      </c>
      <c r="C3349" s="1" t="s">
        <v>7037</v>
      </c>
      <c r="D3349" s="1" t="s">
        <v>7038</v>
      </c>
      <c r="E3349" s="1" t="s">
        <v>7107</v>
      </c>
      <c r="F3349" s="1" t="str">
        <f>HYPERLINK("https://talan.bank.gov.ua/get-user-certificate/J5325F-HTi0MO4S9iOcr","Завантажити сертифікат")</f>
        <v>Завантажити сертифікат</v>
      </c>
    </row>
    <row r="3350" spans="1:6" ht="28.8" x14ac:dyDescent="0.3">
      <c r="A3350" s="2">
        <v>3349</v>
      </c>
      <c r="B3350" s="1" t="s">
        <v>7108</v>
      </c>
      <c r="C3350" s="1" t="s">
        <v>7037</v>
      </c>
      <c r="D3350" s="1" t="s">
        <v>7038</v>
      </c>
      <c r="E3350" s="1" t="s">
        <v>7109</v>
      </c>
      <c r="F3350" s="1" t="str">
        <f>HYPERLINK("https://talan.bank.gov.ua/get-user-certificate/J5325aDPn6ET27Nzh5jX","Завантажити сертифікат")</f>
        <v>Завантажити сертифікат</v>
      </c>
    </row>
    <row r="3351" spans="1:6" ht="28.8" x14ac:dyDescent="0.3">
      <c r="A3351" s="2">
        <v>3350</v>
      </c>
      <c r="B3351" s="1" t="s">
        <v>7110</v>
      </c>
      <c r="C3351" s="1" t="s">
        <v>7037</v>
      </c>
      <c r="D3351" s="1" t="s">
        <v>7038</v>
      </c>
      <c r="E3351" s="1" t="s">
        <v>7111</v>
      </c>
      <c r="F3351" s="1" t="str">
        <f>HYPERLINK("https://talan.bank.gov.ua/get-user-certificate/J5325pPl39abXuivQYB5","Завантажити сертифікат")</f>
        <v>Завантажити сертифікат</v>
      </c>
    </row>
    <row r="3352" spans="1:6" ht="28.8" x14ac:dyDescent="0.3">
      <c r="A3352" s="2">
        <v>3351</v>
      </c>
      <c r="B3352" s="1" t="s">
        <v>7112</v>
      </c>
      <c r="C3352" s="1" t="s">
        <v>7037</v>
      </c>
      <c r="D3352" s="1" t="s">
        <v>7038</v>
      </c>
      <c r="E3352" s="1" t="s">
        <v>7113</v>
      </c>
      <c r="F3352" s="1" t="str">
        <f>HYPERLINK("https://talan.bank.gov.ua/get-user-certificate/J5325sLG0YtofRCEgYnT","Завантажити сертифікат")</f>
        <v>Завантажити сертифікат</v>
      </c>
    </row>
    <row r="3353" spans="1:6" ht="28.8" x14ac:dyDescent="0.3">
      <c r="A3353" s="2">
        <v>3352</v>
      </c>
      <c r="B3353" s="1" t="s">
        <v>7114</v>
      </c>
      <c r="C3353" s="1" t="s">
        <v>7037</v>
      </c>
      <c r="D3353" s="1" t="s">
        <v>7038</v>
      </c>
      <c r="E3353" s="1" t="s">
        <v>7115</v>
      </c>
      <c r="F3353" s="1" t="str">
        <f>HYPERLINK("https://talan.bank.gov.ua/get-user-certificate/J53255LrImHs7rLB62gv","Завантажити сертифікат")</f>
        <v>Завантажити сертифікат</v>
      </c>
    </row>
    <row r="3354" spans="1:6" ht="28.8" x14ac:dyDescent="0.3">
      <c r="A3354" s="2">
        <v>3353</v>
      </c>
      <c r="B3354" s="1" t="s">
        <v>7116</v>
      </c>
      <c r="C3354" s="1" t="s">
        <v>7037</v>
      </c>
      <c r="D3354" s="1" t="s">
        <v>7038</v>
      </c>
      <c r="E3354" s="1" t="s">
        <v>7117</v>
      </c>
      <c r="F3354" s="1" t="str">
        <f>HYPERLINK("https://talan.bank.gov.ua/get-user-certificate/J53257wokrHmT9ILMHdm","Завантажити сертифікат")</f>
        <v>Завантажити сертифікат</v>
      </c>
    </row>
    <row r="3355" spans="1:6" x14ac:dyDescent="0.3">
      <c r="A3355" s="2">
        <v>3354</v>
      </c>
      <c r="B3355" s="1" t="s">
        <v>7118</v>
      </c>
      <c r="C3355" s="1" t="s">
        <v>7119</v>
      </c>
      <c r="D3355" s="1" t="s">
        <v>7120</v>
      </c>
      <c r="E3355" s="1" t="s">
        <v>7121</v>
      </c>
      <c r="F3355" s="1" t="str">
        <f>HYPERLINK("https://talan.bank.gov.ua/get-user-certificate/J5325F0RaRo5Ouo65Z9z","Завантажити сертифікат")</f>
        <v>Завантажити сертифікат</v>
      </c>
    </row>
    <row r="3356" spans="1:6" x14ac:dyDescent="0.3">
      <c r="A3356" s="2">
        <v>3355</v>
      </c>
      <c r="B3356" s="1" t="s">
        <v>7122</v>
      </c>
      <c r="C3356" s="1" t="s">
        <v>7119</v>
      </c>
      <c r="D3356" s="1" t="s">
        <v>7120</v>
      </c>
      <c r="E3356" s="1" t="s">
        <v>7123</v>
      </c>
      <c r="F3356" s="1" t="str">
        <f>HYPERLINK("https://talan.bank.gov.ua/get-user-certificate/J5325WebVxEh1eqg_EcJ","Завантажити сертифікат")</f>
        <v>Завантажити сертифікат</v>
      </c>
    </row>
    <row r="3357" spans="1:6" x14ac:dyDescent="0.3">
      <c r="A3357" s="2">
        <v>3356</v>
      </c>
      <c r="B3357" s="1" t="s">
        <v>7124</v>
      </c>
      <c r="C3357" s="1" t="s">
        <v>7119</v>
      </c>
      <c r="D3357" s="1" t="s">
        <v>7120</v>
      </c>
      <c r="E3357" s="1" t="s">
        <v>7125</v>
      </c>
      <c r="F3357" s="1" t="str">
        <f>HYPERLINK("https://talan.bank.gov.ua/get-user-certificate/J5325xVT5NJYcD5XHxzJ","Завантажити сертифікат")</f>
        <v>Завантажити сертифікат</v>
      </c>
    </row>
    <row r="3358" spans="1:6" x14ac:dyDescent="0.3">
      <c r="A3358" s="2">
        <v>3357</v>
      </c>
      <c r="B3358" s="1" t="s">
        <v>7126</v>
      </c>
      <c r="C3358" s="1" t="s">
        <v>7119</v>
      </c>
      <c r="D3358" s="1" t="s">
        <v>7120</v>
      </c>
      <c r="E3358" s="1" t="s">
        <v>7127</v>
      </c>
      <c r="F3358" s="1" t="str">
        <f>HYPERLINK("https://talan.bank.gov.ua/get-user-certificate/J5325B5zH4rhyGyDWDpt","Завантажити сертифікат")</f>
        <v>Завантажити сертифікат</v>
      </c>
    </row>
    <row r="3359" spans="1:6" x14ac:dyDescent="0.3">
      <c r="A3359" s="2">
        <v>3358</v>
      </c>
      <c r="B3359" s="1" t="s">
        <v>7128</v>
      </c>
      <c r="C3359" s="1" t="s">
        <v>7119</v>
      </c>
      <c r="D3359" s="1" t="s">
        <v>7120</v>
      </c>
      <c r="E3359" s="1" t="s">
        <v>7129</v>
      </c>
      <c r="F3359" s="1" t="str">
        <f>HYPERLINK("https://talan.bank.gov.ua/get-user-certificate/J5325jUyWtrYsg14BBvr","Завантажити сертифікат")</f>
        <v>Завантажити сертифікат</v>
      </c>
    </row>
    <row r="3360" spans="1:6" x14ac:dyDescent="0.3">
      <c r="A3360" s="2">
        <v>3359</v>
      </c>
      <c r="B3360" s="1" t="s">
        <v>7130</v>
      </c>
      <c r="C3360" s="1" t="s">
        <v>7119</v>
      </c>
      <c r="D3360" s="1" t="s">
        <v>7120</v>
      </c>
      <c r="E3360" s="1" t="s">
        <v>7131</v>
      </c>
      <c r="F3360" s="1" t="str">
        <f>HYPERLINK("https://talan.bank.gov.ua/get-user-certificate/J5325IU--GNP_ulB5ihL","Завантажити сертифікат")</f>
        <v>Завантажити сертифікат</v>
      </c>
    </row>
    <row r="3361" spans="1:6" x14ac:dyDescent="0.3">
      <c r="A3361" s="2">
        <v>3360</v>
      </c>
      <c r="B3361" s="1" t="s">
        <v>7132</v>
      </c>
      <c r="C3361" s="1" t="s">
        <v>7119</v>
      </c>
      <c r="D3361" s="1" t="s">
        <v>7120</v>
      </c>
      <c r="E3361" s="1" t="s">
        <v>7133</v>
      </c>
      <c r="F3361" s="1" t="str">
        <f>HYPERLINK("https://talan.bank.gov.ua/get-user-certificate/J5325gpf9VQH-D0A-JHH","Завантажити сертифікат")</f>
        <v>Завантажити сертифікат</v>
      </c>
    </row>
    <row r="3362" spans="1:6" x14ac:dyDescent="0.3">
      <c r="A3362" s="2">
        <v>3361</v>
      </c>
      <c r="B3362" s="1" t="s">
        <v>7134</v>
      </c>
      <c r="C3362" s="1" t="s">
        <v>7119</v>
      </c>
      <c r="D3362" s="1" t="s">
        <v>7120</v>
      </c>
      <c r="E3362" s="1" t="s">
        <v>7135</v>
      </c>
      <c r="F3362" s="1" t="str">
        <f>HYPERLINK("https://talan.bank.gov.ua/get-user-certificate/J5325IWCLTkTBwu_djvX","Завантажити сертифікат")</f>
        <v>Завантажити сертифікат</v>
      </c>
    </row>
    <row r="3363" spans="1:6" x14ac:dyDescent="0.3">
      <c r="A3363" s="2">
        <v>3362</v>
      </c>
      <c r="B3363" s="1" t="s">
        <v>7136</v>
      </c>
      <c r="C3363" s="1" t="s">
        <v>7119</v>
      </c>
      <c r="D3363" s="1" t="s">
        <v>7120</v>
      </c>
      <c r="E3363" s="1" t="s">
        <v>7137</v>
      </c>
      <c r="F3363" s="1" t="str">
        <f>HYPERLINK("https://talan.bank.gov.ua/get-user-certificate/J53258k0pWmlqq08vD2E","Завантажити сертифікат")</f>
        <v>Завантажити сертифікат</v>
      </c>
    </row>
    <row r="3364" spans="1:6" x14ac:dyDescent="0.3">
      <c r="A3364" s="2">
        <v>3363</v>
      </c>
      <c r="B3364" s="1" t="s">
        <v>7138</v>
      </c>
      <c r="C3364" s="1" t="s">
        <v>7119</v>
      </c>
      <c r="D3364" s="1" t="s">
        <v>7120</v>
      </c>
      <c r="E3364" s="1" t="s">
        <v>7139</v>
      </c>
      <c r="F3364" s="1" t="str">
        <f>HYPERLINK("https://talan.bank.gov.ua/get-user-certificate/J5325S5-MfZK3AOM44T2","Завантажити сертифікат")</f>
        <v>Завантажити сертифікат</v>
      </c>
    </row>
    <row r="3365" spans="1:6" x14ac:dyDescent="0.3">
      <c r="A3365" s="2">
        <v>3364</v>
      </c>
      <c r="B3365" s="1" t="s">
        <v>7140</v>
      </c>
      <c r="C3365" s="1" t="s">
        <v>7119</v>
      </c>
      <c r="D3365" s="1" t="s">
        <v>7120</v>
      </c>
      <c r="E3365" s="1" t="s">
        <v>7141</v>
      </c>
      <c r="F3365" s="1" t="str">
        <f>HYPERLINK("https://talan.bank.gov.ua/get-user-certificate/J5325StmqI6J-ANFBr1C","Завантажити сертифікат")</f>
        <v>Завантажити сертифікат</v>
      </c>
    </row>
    <row r="3366" spans="1:6" x14ac:dyDescent="0.3">
      <c r="A3366" s="2">
        <v>3365</v>
      </c>
      <c r="B3366" s="1" t="s">
        <v>7142</v>
      </c>
      <c r="C3366" s="1" t="s">
        <v>7119</v>
      </c>
      <c r="D3366" s="1" t="s">
        <v>7120</v>
      </c>
      <c r="E3366" s="1" t="s">
        <v>7143</v>
      </c>
      <c r="F3366" s="1" t="str">
        <f>HYPERLINK("https://talan.bank.gov.ua/get-user-certificate/J5325LkMFmfWk6Ue6rnl","Завантажити сертифікат")</f>
        <v>Завантажити сертифікат</v>
      </c>
    </row>
    <row r="3367" spans="1:6" x14ac:dyDescent="0.3">
      <c r="A3367" s="2">
        <v>3366</v>
      </c>
      <c r="B3367" s="1" t="s">
        <v>7144</v>
      </c>
      <c r="C3367" s="1" t="s">
        <v>7119</v>
      </c>
      <c r="D3367" s="1" t="s">
        <v>7120</v>
      </c>
      <c r="E3367" s="1" t="s">
        <v>7145</v>
      </c>
      <c r="F3367" s="1" t="str">
        <f>HYPERLINK("https://talan.bank.gov.ua/get-user-certificate/J53252AxtMcx937-Ouhd","Завантажити сертифікат")</f>
        <v>Завантажити сертифікат</v>
      </c>
    </row>
    <row r="3368" spans="1:6" x14ac:dyDescent="0.3">
      <c r="A3368" s="2">
        <v>3367</v>
      </c>
      <c r="B3368" s="1" t="s">
        <v>7146</v>
      </c>
      <c r="C3368" s="1" t="s">
        <v>7119</v>
      </c>
      <c r="D3368" s="1" t="s">
        <v>7120</v>
      </c>
      <c r="E3368" s="1" t="s">
        <v>7147</v>
      </c>
      <c r="F3368" s="1" t="str">
        <f>HYPERLINK("https://talan.bank.gov.ua/get-user-certificate/J5325V8GaTTKCV8JChz0","Завантажити сертифікат")</f>
        <v>Завантажити сертифікат</v>
      </c>
    </row>
    <row r="3369" spans="1:6" x14ac:dyDescent="0.3">
      <c r="A3369" s="2">
        <v>3368</v>
      </c>
      <c r="B3369" s="1" t="s">
        <v>7148</v>
      </c>
      <c r="C3369" s="1" t="s">
        <v>7119</v>
      </c>
      <c r="D3369" s="1" t="s">
        <v>7120</v>
      </c>
      <c r="E3369" s="1" t="s">
        <v>7149</v>
      </c>
      <c r="F3369" s="1" t="str">
        <f>HYPERLINK("https://talan.bank.gov.ua/get-user-certificate/J53253aYROZbtBnyhLnb","Завантажити сертифікат")</f>
        <v>Завантажити сертифікат</v>
      </c>
    </row>
    <row r="3370" spans="1:6" x14ac:dyDescent="0.3">
      <c r="A3370" s="2">
        <v>3369</v>
      </c>
      <c r="B3370" s="1" t="s">
        <v>7150</v>
      </c>
      <c r="C3370" s="1" t="s">
        <v>7119</v>
      </c>
      <c r="D3370" s="1" t="s">
        <v>7120</v>
      </c>
      <c r="E3370" s="1" t="s">
        <v>7151</v>
      </c>
      <c r="F3370" s="1" t="str">
        <f>HYPERLINK("https://talan.bank.gov.ua/get-user-certificate/J5325u5AJXk4pt3s4gQB","Завантажити сертифікат")</f>
        <v>Завантажити сертифікат</v>
      </c>
    </row>
    <row r="3371" spans="1:6" ht="28.8" x14ac:dyDescent="0.3">
      <c r="A3371" s="2">
        <v>3370</v>
      </c>
      <c r="B3371" s="1" t="s">
        <v>7152</v>
      </c>
      <c r="C3371" s="1" t="s">
        <v>7153</v>
      </c>
      <c r="D3371" s="1" t="s">
        <v>7154</v>
      </c>
      <c r="E3371" s="1" t="s">
        <v>7155</v>
      </c>
      <c r="F3371" s="1" t="str">
        <f>HYPERLINK("https://talan.bank.gov.ua/get-user-certificate/J5325LcUBU_QiFISBp_a","Завантажити сертифікат")</f>
        <v>Завантажити сертифікат</v>
      </c>
    </row>
    <row r="3372" spans="1:6" ht="28.8" x14ac:dyDescent="0.3">
      <c r="A3372" s="2">
        <v>3371</v>
      </c>
      <c r="B3372" s="1" t="s">
        <v>7156</v>
      </c>
      <c r="C3372" s="1" t="s">
        <v>7153</v>
      </c>
      <c r="D3372" s="1" t="s">
        <v>7154</v>
      </c>
      <c r="E3372" s="1" t="s">
        <v>7157</v>
      </c>
      <c r="F3372" s="1" t="str">
        <f>HYPERLINK("https://talan.bank.gov.ua/get-user-certificate/J5325XYzfTBNfHgLGc_a","Завантажити сертифікат")</f>
        <v>Завантажити сертифікат</v>
      </c>
    </row>
    <row r="3373" spans="1:6" ht="28.8" x14ac:dyDescent="0.3">
      <c r="A3373" s="2">
        <v>3372</v>
      </c>
      <c r="B3373" s="1" t="s">
        <v>7158</v>
      </c>
      <c r="C3373" s="1" t="s">
        <v>7153</v>
      </c>
      <c r="D3373" s="1" t="s">
        <v>7154</v>
      </c>
      <c r="E3373" s="1" t="s">
        <v>7159</v>
      </c>
      <c r="F3373" s="1" t="str">
        <f>HYPERLINK("https://talan.bank.gov.ua/get-user-certificate/J5325LnUGP8l86L6KuGb","Завантажити сертифікат")</f>
        <v>Завантажити сертифікат</v>
      </c>
    </row>
    <row r="3374" spans="1:6" ht="28.8" x14ac:dyDescent="0.3">
      <c r="A3374" s="2">
        <v>3373</v>
      </c>
      <c r="B3374" s="1" t="s">
        <v>7160</v>
      </c>
      <c r="C3374" s="1" t="s">
        <v>7153</v>
      </c>
      <c r="D3374" s="1" t="s">
        <v>7154</v>
      </c>
      <c r="E3374" s="1" t="s">
        <v>7161</v>
      </c>
      <c r="F3374" s="1" t="str">
        <f>HYPERLINK("https://talan.bank.gov.ua/get-user-certificate/J5325_RpRipcSn0WE_B4","Завантажити сертифікат")</f>
        <v>Завантажити сертифікат</v>
      </c>
    </row>
    <row r="3375" spans="1:6" ht="28.8" x14ac:dyDescent="0.3">
      <c r="A3375" s="2">
        <v>3374</v>
      </c>
      <c r="B3375" s="1" t="s">
        <v>7162</v>
      </c>
      <c r="C3375" s="1" t="s">
        <v>7153</v>
      </c>
      <c r="D3375" s="1" t="s">
        <v>7154</v>
      </c>
      <c r="E3375" s="1" t="s">
        <v>7163</v>
      </c>
      <c r="F3375" s="1" t="str">
        <f>HYPERLINK("https://talan.bank.gov.ua/get-user-certificate/J53259_pFq35vW2_4Yyi","Завантажити сертифікат")</f>
        <v>Завантажити сертифікат</v>
      </c>
    </row>
    <row r="3376" spans="1:6" x14ac:dyDescent="0.3">
      <c r="A3376" s="2">
        <v>3375</v>
      </c>
      <c r="B3376" s="1" t="s">
        <v>7164</v>
      </c>
      <c r="C3376" s="1" t="s">
        <v>7165</v>
      </c>
      <c r="D3376" s="1" t="s">
        <v>7166</v>
      </c>
      <c r="E3376" s="1" t="s">
        <v>7167</v>
      </c>
      <c r="F3376" s="1" t="str">
        <f>HYPERLINK("https://talan.bank.gov.ua/get-user-certificate/J5325Ze1jbfJe-5MnorG","Завантажити сертифікат")</f>
        <v>Завантажити сертифікат</v>
      </c>
    </row>
    <row r="3377" spans="1:6" x14ac:dyDescent="0.3">
      <c r="A3377" s="2">
        <v>3376</v>
      </c>
      <c r="B3377" s="1" t="s">
        <v>7168</v>
      </c>
      <c r="C3377" s="1" t="s">
        <v>7165</v>
      </c>
      <c r="D3377" s="1" t="s">
        <v>7166</v>
      </c>
      <c r="E3377" s="1" t="s">
        <v>7169</v>
      </c>
      <c r="F3377" s="1" t="str">
        <f>HYPERLINK("https://talan.bank.gov.ua/get-user-certificate/J5325LKFFVG2jKyzEK3P","Завантажити сертифікат")</f>
        <v>Завантажити сертифікат</v>
      </c>
    </row>
    <row r="3378" spans="1:6" x14ac:dyDescent="0.3">
      <c r="A3378" s="2">
        <v>3377</v>
      </c>
      <c r="B3378" s="1" t="s">
        <v>7170</v>
      </c>
      <c r="C3378" s="1" t="s">
        <v>7165</v>
      </c>
      <c r="D3378" s="1" t="s">
        <v>7166</v>
      </c>
      <c r="E3378" s="1" t="s">
        <v>7171</v>
      </c>
      <c r="F3378" s="1" t="str">
        <f>HYPERLINK("https://talan.bank.gov.ua/get-user-certificate/J5325RSe0A0BI4qfOlTT","Завантажити сертифікат")</f>
        <v>Завантажити сертифікат</v>
      </c>
    </row>
    <row r="3379" spans="1:6" x14ac:dyDescent="0.3">
      <c r="A3379" s="2">
        <v>3378</v>
      </c>
      <c r="B3379" s="1" t="s">
        <v>7172</v>
      </c>
      <c r="C3379" s="1" t="s">
        <v>7165</v>
      </c>
      <c r="D3379" s="1" t="s">
        <v>7166</v>
      </c>
      <c r="E3379" s="1" t="s">
        <v>7173</v>
      </c>
      <c r="F3379" s="1" t="str">
        <f>HYPERLINK("https://talan.bank.gov.ua/get-user-certificate/J53257WmCfGy8Fq3Vy0m","Завантажити сертифікат")</f>
        <v>Завантажити сертифікат</v>
      </c>
    </row>
    <row r="3380" spans="1:6" x14ac:dyDescent="0.3">
      <c r="A3380" s="2">
        <v>3379</v>
      </c>
      <c r="B3380" s="1" t="s">
        <v>7174</v>
      </c>
      <c r="C3380" s="1" t="s">
        <v>7165</v>
      </c>
      <c r="D3380" s="1" t="s">
        <v>7166</v>
      </c>
      <c r="E3380" s="1" t="s">
        <v>7175</v>
      </c>
      <c r="F3380" s="1" t="str">
        <f>HYPERLINK("https://talan.bank.gov.ua/get-user-certificate/J53252yEkdJ8QobOxXhD","Завантажити сертифікат")</f>
        <v>Завантажити сертифікат</v>
      </c>
    </row>
    <row r="3381" spans="1:6" x14ac:dyDescent="0.3">
      <c r="A3381" s="2">
        <v>3380</v>
      </c>
      <c r="B3381" s="1" t="s">
        <v>7176</v>
      </c>
      <c r="C3381" s="1" t="s">
        <v>7165</v>
      </c>
      <c r="D3381" s="1" t="s">
        <v>7166</v>
      </c>
      <c r="E3381" s="1" t="s">
        <v>7177</v>
      </c>
      <c r="F3381" s="1" t="str">
        <f>HYPERLINK("https://talan.bank.gov.ua/get-user-certificate/J5325Gks0fhZdj1d38eh","Завантажити сертифікат")</f>
        <v>Завантажити сертифікат</v>
      </c>
    </row>
    <row r="3382" spans="1:6" x14ac:dyDescent="0.3">
      <c r="A3382" s="2">
        <v>3381</v>
      </c>
      <c r="B3382" s="1" t="s">
        <v>7178</v>
      </c>
      <c r="C3382" s="1" t="s">
        <v>7165</v>
      </c>
      <c r="D3382" s="1" t="s">
        <v>7166</v>
      </c>
      <c r="E3382" s="1" t="s">
        <v>7179</v>
      </c>
      <c r="F3382" s="1" t="str">
        <f>HYPERLINK("https://talan.bank.gov.ua/get-user-certificate/J5325rfCO9Hiwt-nUeEx","Завантажити сертифікат")</f>
        <v>Завантажити сертифікат</v>
      </c>
    </row>
    <row r="3383" spans="1:6" x14ac:dyDescent="0.3">
      <c r="A3383" s="2">
        <v>3382</v>
      </c>
      <c r="B3383" s="1" t="s">
        <v>7180</v>
      </c>
      <c r="C3383" s="1" t="s">
        <v>7165</v>
      </c>
      <c r="D3383" s="1" t="s">
        <v>7166</v>
      </c>
      <c r="E3383" s="1" t="s">
        <v>7181</v>
      </c>
      <c r="F3383" s="1" t="str">
        <f>HYPERLINK("https://talan.bank.gov.ua/get-user-certificate/J5325wHr2Sa54Sen3HIm","Завантажити сертифікат")</f>
        <v>Завантажити сертифікат</v>
      </c>
    </row>
    <row r="3384" spans="1:6" x14ac:dyDescent="0.3">
      <c r="A3384" s="2">
        <v>3383</v>
      </c>
      <c r="B3384" s="1" t="s">
        <v>7182</v>
      </c>
      <c r="C3384" s="1" t="s">
        <v>7165</v>
      </c>
      <c r="D3384" s="1" t="s">
        <v>7166</v>
      </c>
      <c r="E3384" s="1" t="s">
        <v>7183</v>
      </c>
      <c r="F3384" s="1" t="str">
        <f>HYPERLINK("https://talan.bank.gov.ua/get-user-certificate/J5325-0G_UtqLFbE2Q8M","Завантажити сертифікат")</f>
        <v>Завантажити сертифікат</v>
      </c>
    </row>
    <row r="3385" spans="1:6" x14ac:dyDescent="0.3">
      <c r="A3385" s="2">
        <v>3384</v>
      </c>
      <c r="B3385" s="1" t="s">
        <v>7184</v>
      </c>
      <c r="C3385" s="1" t="s">
        <v>7165</v>
      </c>
      <c r="D3385" s="1" t="s">
        <v>7166</v>
      </c>
      <c r="E3385" s="1" t="s">
        <v>7185</v>
      </c>
      <c r="F3385" s="1" t="str">
        <f>HYPERLINK("https://talan.bank.gov.ua/get-user-certificate/J53255aVO_XkIU1gqZg5","Завантажити сертифікат")</f>
        <v>Завантажити сертифікат</v>
      </c>
    </row>
    <row r="3386" spans="1:6" x14ac:dyDescent="0.3">
      <c r="A3386" s="2">
        <v>3385</v>
      </c>
      <c r="B3386" s="1" t="s">
        <v>7186</v>
      </c>
      <c r="C3386" s="1" t="s">
        <v>7165</v>
      </c>
      <c r="D3386" s="1" t="s">
        <v>7166</v>
      </c>
      <c r="E3386" s="1" t="s">
        <v>7187</v>
      </c>
      <c r="F3386" s="1" t="str">
        <f>HYPERLINK("https://talan.bank.gov.ua/get-user-certificate/J5325rzpE8-7K3Edmjjk","Завантажити сертифікат")</f>
        <v>Завантажити сертифікат</v>
      </c>
    </row>
    <row r="3387" spans="1:6" x14ac:dyDescent="0.3">
      <c r="A3387" s="2">
        <v>3386</v>
      </c>
      <c r="B3387" s="1" t="s">
        <v>7188</v>
      </c>
      <c r="C3387" s="1" t="s">
        <v>7165</v>
      </c>
      <c r="D3387" s="1" t="s">
        <v>7166</v>
      </c>
      <c r="E3387" s="1" t="s">
        <v>7189</v>
      </c>
      <c r="F3387" s="1" t="str">
        <f>HYPERLINK("https://talan.bank.gov.ua/get-user-certificate/J53259JN00nE4O1tjNql","Завантажити сертифікат")</f>
        <v>Завантажити сертифікат</v>
      </c>
    </row>
    <row r="3388" spans="1:6" x14ac:dyDescent="0.3">
      <c r="A3388" s="2">
        <v>3387</v>
      </c>
      <c r="B3388" s="1" t="s">
        <v>7190</v>
      </c>
      <c r="C3388" s="1" t="s">
        <v>7165</v>
      </c>
      <c r="D3388" s="1" t="s">
        <v>7166</v>
      </c>
      <c r="E3388" s="1" t="s">
        <v>7191</v>
      </c>
      <c r="F3388" s="1" t="str">
        <f>HYPERLINK("https://talan.bank.gov.ua/get-user-certificate/J5325pFWIhWgUMcW-ZRx","Завантажити сертифікат")</f>
        <v>Завантажити сертифікат</v>
      </c>
    </row>
    <row r="3389" spans="1:6" x14ac:dyDescent="0.3">
      <c r="A3389" s="2">
        <v>3388</v>
      </c>
      <c r="B3389" s="1" t="s">
        <v>7192</v>
      </c>
      <c r="C3389" s="1" t="s">
        <v>7165</v>
      </c>
      <c r="D3389" s="1" t="s">
        <v>7166</v>
      </c>
      <c r="E3389" s="1" t="s">
        <v>7193</v>
      </c>
      <c r="F3389" s="1" t="str">
        <f>HYPERLINK("https://talan.bank.gov.ua/get-user-certificate/J5325RCCwOr69tK9ZFmT","Завантажити сертифікат")</f>
        <v>Завантажити сертифікат</v>
      </c>
    </row>
    <row r="3390" spans="1:6" ht="28.8" x14ac:dyDescent="0.3">
      <c r="A3390" s="2">
        <v>3389</v>
      </c>
      <c r="B3390" s="1" t="s">
        <v>7194</v>
      </c>
      <c r="C3390" s="1" t="s">
        <v>7195</v>
      </c>
      <c r="D3390" s="1" t="s">
        <v>7196</v>
      </c>
      <c r="E3390" s="1" t="s">
        <v>7197</v>
      </c>
      <c r="F3390" s="1" t="str">
        <f>HYPERLINK("https://talan.bank.gov.ua/get-user-certificate/J5325Lz5M12mxP3tEchA","Завантажити сертифікат")</f>
        <v>Завантажити сертифікат</v>
      </c>
    </row>
    <row r="3391" spans="1:6" ht="28.8" x14ac:dyDescent="0.3">
      <c r="A3391" s="2">
        <v>3390</v>
      </c>
      <c r="B3391" s="1" t="s">
        <v>7198</v>
      </c>
      <c r="C3391" s="1" t="s">
        <v>7195</v>
      </c>
      <c r="D3391" s="1" t="s">
        <v>7196</v>
      </c>
      <c r="E3391" s="1" t="s">
        <v>7199</v>
      </c>
      <c r="F3391" s="1" t="str">
        <f>HYPERLINK("https://talan.bank.gov.ua/get-user-certificate/J5325oWNgezQduBE7zBp","Завантажити сертифікат")</f>
        <v>Завантажити сертифікат</v>
      </c>
    </row>
    <row r="3392" spans="1:6" ht="28.8" x14ac:dyDescent="0.3">
      <c r="A3392" s="2">
        <v>3391</v>
      </c>
      <c r="B3392" s="1" t="s">
        <v>7200</v>
      </c>
      <c r="C3392" s="1" t="s">
        <v>7195</v>
      </c>
      <c r="D3392" s="1" t="s">
        <v>7196</v>
      </c>
      <c r="E3392" s="1" t="s">
        <v>7201</v>
      </c>
      <c r="F3392" s="1" t="str">
        <f>HYPERLINK("https://talan.bank.gov.ua/get-user-certificate/J5325QC7CZH5_GgFJlY4","Завантажити сертифікат")</f>
        <v>Завантажити сертифікат</v>
      </c>
    </row>
    <row r="3393" spans="1:6" ht="28.8" x14ac:dyDescent="0.3">
      <c r="A3393" s="2">
        <v>3392</v>
      </c>
      <c r="B3393" s="1" t="s">
        <v>7202</v>
      </c>
      <c r="C3393" s="1" t="s">
        <v>7195</v>
      </c>
      <c r="D3393" s="1" t="s">
        <v>7196</v>
      </c>
      <c r="E3393" s="1" t="s">
        <v>7203</v>
      </c>
      <c r="F3393" s="1" t="str">
        <f>HYPERLINK("https://talan.bank.gov.ua/get-user-certificate/J532535qcxAqQnbXJltm","Завантажити сертифікат")</f>
        <v>Завантажити сертифікат</v>
      </c>
    </row>
    <row r="3394" spans="1:6" ht="28.8" x14ac:dyDescent="0.3">
      <c r="A3394" s="2">
        <v>3393</v>
      </c>
      <c r="B3394" s="1" t="s">
        <v>7204</v>
      </c>
      <c r="C3394" s="1" t="s">
        <v>7195</v>
      </c>
      <c r="D3394" s="1" t="s">
        <v>7196</v>
      </c>
      <c r="E3394" s="1" t="s">
        <v>7205</v>
      </c>
      <c r="F3394" s="1" t="str">
        <f>HYPERLINK("https://talan.bank.gov.ua/get-user-certificate/J53259vTCpzS-4KxIu1j","Завантажити сертифікат")</f>
        <v>Завантажити сертифікат</v>
      </c>
    </row>
    <row r="3395" spans="1:6" ht="28.8" x14ac:dyDescent="0.3">
      <c r="A3395" s="2">
        <v>3394</v>
      </c>
      <c r="B3395" s="1" t="s">
        <v>7206</v>
      </c>
      <c r="C3395" s="1" t="s">
        <v>7195</v>
      </c>
      <c r="D3395" s="1" t="s">
        <v>7196</v>
      </c>
      <c r="E3395" s="1" t="s">
        <v>7207</v>
      </c>
      <c r="F3395" s="1" t="str">
        <f>HYPERLINK("https://talan.bank.gov.ua/get-user-certificate/J5325fkq55K8I_9olY0b","Завантажити сертифікат")</f>
        <v>Завантажити сертифікат</v>
      </c>
    </row>
    <row r="3396" spans="1:6" ht="28.8" x14ac:dyDescent="0.3">
      <c r="A3396" s="2">
        <v>3395</v>
      </c>
      <c r="B3396" s="1" t="s">
        <v>7208</v>
      </c>
      <c r="C3396" s="1" t="s">
        <v>7195</v>
      </c>
      <c r="D3396" s="1" t="s">
        <v>7196</v>
      </c>
      <c r="E3396" s="1" t="s">
        <v>7209</v>
      </c>
      <c r="F3396" s="1" t="str">
        <f>HYPERLINK("https://talan.bank.gov.ua/get-user-certificate/J5325JO-c7gEOHeajabT","Завантажити сертифікат")</f>
        <v>Завантажити сертифікат</v>
      </c>
    </row>
    <row r="3397" spans="1:6" ht="28.8" x14ac:dyDescent="0.3">
      <c r="A3397" s="2">
        <v>3396</v>
      </c>
      <c r="B3397" s="1" t="s">
        <v>7210</v>
      </c>
      <c r="C3397" s="1" t="s">
        <v>7195</v>
      </c>
      <c r="D3397" s="1" t="s">
        <v>7196</v>
      </c>
      <c r="E3397" s="1" t="s">
        <v>7211</v>
      </c>
      <c r="F3397" s="1" t="str">
        <f>HYPERLINK("https://talan.bank.gov.ua/get-user-certificate/J5325E73VNRz1U7kpf7I","Завантажити сертифікат")</f>
        <v>Завантажити сертифікат</v>
      </c>
    </row>
    <row r="3398" spans="1:6" ht="28.8" x14ac:dyDescent="0.3">
      <c r="A3398" s="2">
        <v>3397</v>
      </c>
      <c r="B3398" s="1" t="s">
        <v>7212</v>
      </c>
      <c r="C3398" s="1" t="s">
        <v>7195</v>
      </c>
      <c r="D3398" s="1" t="s">
        <v>7196</v>
      </c>
      <c r="E3398" s="1" t="s">
        <v>7213</v>
      </c>
      <c r="F3398" s="1" t="str">
        <f>HYPERLINK("https://talan.bank.gov.ua/get-user-certificate/J5325u4EmBO2WTM_w1ZB","Завантажити сертифікат")</f>
        <v>Завантажити сертифікат</v>
      </c>
    </row>
    <row r="3399" spans="1:6" ht="28.8" x14ac:dyDescent="0.3">
      <c r="A3399" s="2">
        <v>3398</v>
      </c>
      <c r="B3399" s="1" t="s">
        <v>7214</v>
      </c>
      <c r="C3399" s="1" t="s">
        <v>7195</v>
      </c>
      <c r="D3399" s="1" t="s">
        <v>7196</v>
      </c>
      <c r="E3399" s="1" t="s">
        <v>7215</v>
      </c>
      <c r="F3399" s="1" t="str">
        <f>HYPERLINK("https://talan.bank.gov.ua/get-user-certificate/J5325kBBv0f1ah9Korcn","Завантажити сертифікат")</f>
        <v>Завантажити сертифікат</v>
      </c>
    </row>
    <row r="3400" spans="1:6" ht="28.8" x14ac:dyDescent="0.3">
      <c r="A3400" s="2">
        <v>3399</v>
      </c>
      <c r="B3400" s="1" t="s">
        <v>7216</v>
      </c>
      <c r="C3400" s="1" t="s">
        <v>7195</v>
      </c>
      <c r="D3400" s="1" t="s">
        <v>7196</v>
      </c>
      <c r="E3400" s="1" t="s">
        <v>7217</v>
      </c>
      <c r="F3400" s="1" t="str">
        <f>HYPERLINK("https://talan.bank.gov.ua/get-user-certificate/J53256QrM8KKXimvLSUj","Завантажити сертифікат")</f>
        <v>Завантажити сертифікат</v>
      </c>
    </row>
    <row r="3401" spans="1:6" ht="28.8" x14ac:dyDescent="0.3">
      <c r="A3401" s="2">
        <v>3400</v>
      </c>
      <c r="B3401" s="1" t="s">
        <v>7218</v>
      </c>
      <c r="C3401" s="1" t="s">
        <v>7195</v>
      </c>
      <c r="D3401" s="1" t="s">
        <v>7196</v>
      </c>
      <c r="E3401" s="1" t="s">
        <v>7219</v>
      </c>
      <c r="F3401" s="1" t="str">
        <f>HYPERLINK("https://talan.bank.gov.ua/get-user-certificate/J532532ioFxH9Nq3KGei","Завантажити сертифікат")</f>
        <v>Завантажити сертифікат</v>
      </c>
    </row>
    <row r="3402" spans="1:6" ht="28.8" x14ac:dyDescent="0.3">
      <c r="A3402" s="2">
        <v>3401</v>
      </c>
      <c r="B3402" s="1" t="s">
        <v>7220</v>
      </c>
      <c r="C3402" s="1" t="s">
        <v>7221</v>
      </c>
      <c r="D3402" s="1" t="s">
        <v>7222</v>
      </c>
      <c r="E3402" s="1" t="s">
        <v>7223</v>
      </c>
      <c r="F3402" s="1" t="str">
        <f>HYPERLINK("https://talan.bank.gov.ua/get-user-certificate/J5325zIKirJ0bMedxrsD","Завантажити сертифікат")</f>
        <v>Завантажити сертифікат</v>
      </c>
    </row>
    <row r="3403" spans="1:6" ht="28.8" x14ac:dyDescent="0.3">
      <c r="A3403" s="2">
        <v>3402</v>
      </c>
      <c r="B3403" s="1" t="s">
        <v>7224</v>
      </c>
      <c r="C3403" s="1" t="s">
        <v>7221</v>
      </c>
      <c r="D3403" s="1" t="s">
        <v>7222</v>
      </c>
      <c r="E3403" s="1" t="s">
        <v>7225</v>
      </c>
      <c r="F3403" s="1" t="str">
        <f>HYPERLINK("https://talan.bank.gov.ua/get-user-certificate/J5325Gz6owstlcQvUPey","Завантажити сертифікат")</f>
        <v>Завантажити сертифікат</v>
      </c>
    </row>
    <row r="3404" spans="1:6" ht="28.8" x14ac:dyDescent="0.3">
      <c r="A3404" s="2">
        <v>3403</v>
      </c>
      <c r="B3404" s="1" t="s">
        <v>7226</v>
      </c>
      <c r="C3404" s="1" t="s">
        <v>7221</v>
      </c>
      <c r="D3404" s="1" t="s">
        <v>7222</v>
      </c>
      <c r="E3404" s="1" t="s">
        <v>7227</v>
      </c>
      <c r="F3404" s="1" t="str">
        <f>HYPERLINK("https://talan.bank.gov.ua/get-user-certificate/J5325GsIMnrAA4yqSbSw","Завантажити сертифікат")</f>
        <v>Завантажити сертифікат</v>
      </c>
    </row>
    <row r="3405" spans="1:6" ht="28.8" x14ac:dyDescent="0.3">
      <c r="A3405" s="2">
        <v>3404</v>
      </c>
      <c r="B3405" s="1" t="s">
        <v>7228</v>
      </c>
      <c r="C3405" s="1" t="s">
        <v>7221</v>
      </c>
      <c r="D3405" s="1" t="s">
        <v>7222</v>
      </c>
      <c r="E3405" s="1" t="s">
        <v>7229</v>
      </c>
      <c r="F3405" s="1" t="str">
        <f>HYPERLINK("https://talan.bank.gov.ua/get-user-certificate/J5325qSpFPKZCNPIE8Ww","Завантажити сертифікат")</f>
        <v>Завантажити сертифікат</v>
      </c>
    </row>
    <row r="3406" spans="1:6" ht="28.8" x14ac:dyDescent="0.3">
      <c r="A3406" s="2">
        <v>3405</v>
      </c>
      <c r="B3406" s="1" t="s">
        <v>7230</v>
      </c>
      <c r="C3406" s="1" t="s">
        <v>7221</v>
      </c>
      <c r="D3406" s="1" t="s">
        <v>7222</v>
      </c>
      <c r="E3406" s="1" t="s">
        <v>7231</v>
      </c>
      <c r="F3406" s="1" t="str">
        <f>HYPERLINK("https://talan.bank.gov.ua/get-user-certificate/J5325eJ8t7CZgQxMk0H4","Завантажити сертифікат")</f>
        <v>Завантажити сертифікат</v>
      </c>
    </row>
    <row r="3407" spans="1:6" ht="28.8" x14ac:dyDescent="0.3">
      <c r="A3407" s="2">
        <v>3406</v>
      </c>
      <c r="B3407" s="1" t="s">
        <v>7232</v>
      </c>
      <c r="C3407" s="1" t="s">
        <v>7221</v>
      </c>
      <c r="D3407" s="1" t="s">
        <v>7222</v>
      </c>
      <c r="E3407" s="1" t="s">
        <v>7233</v>
      </c>
      <c r="F3407" s="1" t="str">
        <f>HYPERLINK("https://talan.bank.gov.ua/get-user-certificate/J5325BNyiaKojIKd4UKd","Завантажити сертифікат")</f>
        <v>Завантажити сертифікат</v>
      </c>
    </row>
    <row r="3408" spans="1:6" ht="28.8" x14ac:dyDescent="0.3">
      <c r="A3408" s="2">
        <v>3407</v>
      </c>
      <c r="B3408" s="1" t="s">
        <v>7234</v>
      </c>
      <c r="C3408" s="1" t="s">
        <v>7221</v>
      </c>
      <c r="D3408" s="1" t="s">
        <v>7222</v>
      </c>
      <c r="E3408" s="1" t="s">
        <v>7235</v>
      </c>
      <c r="F3408" s="1" t="str">
        <f>HYPERLINK("https://talan.bank.gov.ua/get-user-certificate/J5325nS6RhozXzddpC-8","Завантажити сертифікат")</f>
        <v>Завантажити сертифікат</v>
      </c>
    </row>
    <row r="3409" spans="1:6" ht="28.8" x14ac:dyDescent="0.3">
      <c r="A3409" s="2">
        <v>3408</v>
      </c>
      <c r="B3409" s="1" t="s">
        <v>7236</v>
      </c>
      <c r="C3409" s="1" t="s">
        <v>7221</v>
      </c>
      <c r="D3409" s="1" t="s">
        <v>7222</v>
      </c>
      <c r="E3409" s="1" t="s">
        <v>7237</v>
      </c>
      <c r="F3409" s="1" t="str">
        <f>HYPERLINK("https://talan.bank.gov.ua/get-user-certificate/J5325O96Xoy793QAXFR6","Завантажити сертифікат")</f>
        <v>Завантажити сертифікат</v>
      </c>
    </row>
    <row r="3410" spans="1:6" ht="28.8" x14ac:dyDescent="0.3">
      <c r="A3410" s="2">
        <v>3409</v>
      </c>
      <c r="B3410" s="1" t="s">
        <v>7238</v>
      </c>
      <c r="C3410" s="1" t="s">
        <v>7239</v>
      </c>
      <c r="D3410" s="1" t="s">
        <v>7240</v>
      </c>
      <c r="E3410" s="1" t="s">
        <v>7241</v>
      </c>
      <c r="F3410" s="1" t="str">
        <f>HYPERLINK("https://talan.bank.gov.ua/get-user-certificate/J5325fOf6pAQ2pxiG26T","Завантажити сертифікат")</f>
        <v>Завантажити сертифікат</v>
      </c>
    </row>
    <row r="3411" spans="1:6" ht="28.8" x14ac:dyDescent="0.3">
      <c r="A3411" s="2">
        <v>3410</v>
      </c>
      <c r="B3411" s="1" t="s">
        <v>7242</v>
      </c>
      <c r="C3411" s="1" t="s">
        <v>7239</v>
      </c>
      <c r="D3411" s="1" t="s">
        <v>7240</v>
      </c>
      <c r="E3411" s="1" t="s">
        <v>7243</v>
      </c>
      <c r="F3411" s="1" t="str">
        <f>HYPERLINK("https://talan.bank.gov.ua/get-user-certificate/J5325WoRTabzuAn9-QU4","Завантажити сертифікат")</f>
        <v>Завантажити сертифікат</v>
      </c>
    </row>
    <row r="3412" spans="1:6" ht="28.8" x14ac:dyDescent="0.3">
      <c r="A3412" s="2">
        <v>3411</v>
      </c>
      <c r="B3412" s="1" t="s">
        <v>7244</v>
      </c>
      <c r="C3412" s="1" t="s">
        <v>7239</v>
      </c>
      <c r="D3412" s="1" t="s">
        <v>7240</v>
      </c>
      <c r="E3412" s="1" t="s">
        <v>7245</v>
      </c>
      <c r="F3412" s="1" t="str">
        <f>HYPERLINK("https://talan.bank.gov.ua/get-user-certificate/J5325s4yV0qPkM2fF7aX","Завантажити сертифікат")</f>
        <v>Завантажити сертифікат</v>
      </c>
    </row>
    <row r="3413" spans="1:6" ht="28.8" x14ac:dyDescent="0.3">
      <c r="A3413" s="2">
        <v>3412</v>
      </c>
      <c r="B3413" s="1" t="s">
        <v>7246</v>
      </c>
      <c r="C3413" s="1" t="s">
        <v>7239</v>
      </c>
      <c r="D3413" s="1" t="s">
        <v>7240</v>
      </c>
      <c r="E3413" s="1" t="s">
        <v>7247</v>
      </c>
      <c r="F3413" s="1" t="str">
        <f>HYPERLINK("https://talan.bank.gov.ua/get-user-certificate/J5325b6a5NmA0J8l6Wre","Завантажити сертифікат")</f>
        <v>Завантажити сертифікат</v>
      </c>
    </row>
    <row r="3414" spans="1:6" ht="28.8" x14ac:dyDescent="0.3">
      <c r="A3414" s="2">
        <v>3413</v>
      </c>
      <c r="B3414" s="1" t="s">
        <v>7248</v>
      </c>
      <c r="C3414" s="1" t="s">
        <v>7239</v>
      </c>
      <c r="D3414" s="1" t="s">
        <v>7240</v>
      </c>
      <c r="E3414" s="1" t="s">
        <v>7249</v>
      </c>
      <c r="F3414" s="1" t="str">
        <f>HYPERLINK("https://talan.bank.gov.ua/get-user-certificate/J5325BY31HI2-iHWnrs2","Завантажити сертифікат")</f>
        <v>Завантажити сертифікат</v>
      </c>
    </row>
    <row r="3415" spans="1:6" ht="28.8" x14ac:dyDescent="0.3">
      <c r="A3415" s="2">
        <v>3414</v>
      </c>
      <c r="B3415" s="1" t="s">
        <v>7250</v>
      </c>
      <c r="C3415" s="1" t="s">
        <v>7239</v>
      </c>
      <c r="D3415" s="1" t="s">
        <v>7240</v>
      </c>
      <c r="E3415" s="1" t="s">
        <v>7251</v>
      </c>
      <c r="F3415" s="1" t="str">
        <f>HYPERLINK("https://talan.bank.gov.ua/get-user-certificate/J5325FEAifKctQ1pvGUZ","Завантажити сертифікат")</f>
        <v>Завантажити сертифікат</v>
      </c>
    </row>
    <row r="3416" spans="1:6" ht="28.8" x14ac:dyDescent="0.3">
      <c r="A3416" s="2">
        <v>3415</v>
      </c>
      <c r="B3416" s="1" t="s">
        <v>7252</v>
      </c>
      <c r="C3416" s="1" t="s">
        <v>7239</v>
      </c>
      <c r="D3416" s="1" t="s">
        <v>7240</v>
      </c>
      <c r="E3416" s="1" t="s">
        <v>7253</v>
      </c>
      <c r="F3416" s="1" t="str">
        <f>HYPERLINK("https://talan.bank.gov.ua/get-user-certificate/J5325NXdAsULgdiDOlEE","Завантажити сертифікат")</f>
        <v>Завантажити сертифікат</v>
      </c>
    </row>
    <row r="3417" spans="1:6" ht="28.8" x14ac:dyDescent="0.3">
      <c r="A3417" s="2">
        <v>3416</v>
      </c>
      <c r="B3417" s="1" t="s">
        <v>7254</v>
      </c>
      <c r="C3417" s="1" t="s">
        <v>7239</v>
      </c>
      <c r="D3417" s="1" t="s">
        <v>7240</v>
      </c>
      <c r="E3417" s="1" t="s">
        <v>7255</v>
      </c>
      <c r="F3417" s="1" t="str">
        <f>HYPERLINK("https://talan.bank.gov.ua/get-user-certificate/J53250XcjyTIQ9udeS1x","Завантажити сертифікат")</f>
        <v>Завантажити сертифікат</v>
      </c>
    </row>
    <row r="3418" spans="1:6" ht="28.8" x14ac:dyDescent="0.3">
      <c r="A3418" s="2">
        <v>3417</v>
      </c>
      <c r="B3418" s="1" t="s">
        <v>7256</v>
      </c>
      <c r="C3418" s="1" t="s">
        <v>7239</v>
      </c>
      <c r="D3418" s="1" t="s">
        <v>7240</v>
      </c>
      <c r="E3418" s="1" t="s">
        <v>7257</v>
      </c>
      <c r="F3418" s="1" t="str">
        <f>HYPERLINK("https://talan.bank.gov.ua/get-user-certificate/J5325LdUBvOqO9YJSjgV","Завантажити сертифікат")</f>
        <v>Завантажити сертифікат</v>
      </c>
    </row>
    <row r="3419" spans="1:6" ht="28.8" x14ac:dyDescent="0.3">
      <c r="A3419" s="2">
        <v>3418</v>
      </c>
      <c r="B3419" s="1" t="s">
        <v>7258</v>
      </c>
      <c r="C3419" s="1" t="s">
        <v>7239</v>
      </c>
      <c r="D3419" s="1" t="s">
        <v>7240</v>
      </c>
      <c r="E3419" s="1" t="s">
        <v>7259</v>
      </c>
      <c r="F3419" s="1" t="str">
        <f>HYPERLINK("https://talan.bank.gov.ua/get-user-certificate/J5325G5op3elmNkj_gq5","Завантажити сертифікат")</f>
        <v>Завантажити сертифікат</v>
      </c>
    </row>
    <row r="3420" spans="1:6" ht="28.8" x14ac:dyDescent="0.3">
      <c r="A3420" s="2">
        <v>3419</v>
      </c>
      <c r="B3420" s="1" t="s">
        <v>7260</v>
      </c>
      <c r="C3420" s="1" t="s">
        <v>7239</v>
      </c>
      <c r="D3420" s="1" t="s">
        <v>7240</v>
      </c>
      <c r="E3420" s="1" t="s">
        <v>7261</v>
      </c>
      <c r="F3420" s="1" t="str">
        <f>HYPERLINK("https://talan.bank.gov.ua/get-user-certificate/J5325V-R03oDV-BBV_Rd","Завантажити сертифікат")</f>
        <v>Завантажити сертифікат</v>
      </c>
    </row>
    <row r="3421" spans="1:6" ht="28.8" x14ac:dyDescent="0.3">
      <c r="A3421" s="2">
        <v>3420</v>
      </c>
      <c r="B3421" s="1" t="s">
        <v>7262</v>
      </c>
      <c r="C3421" s="1" t="s">
        <v>7239</v>
      </c>
      <c r="D3421" s="1" t="s">
        <v>7240</v>
      </c>
      <c r="E3421" s="1" t="s">
        <v>7263</v>
      </c>
      <c r="F3421" s="1" t="str">
        <f>HYPERLINK("https://talan.bank.gov.ua/get-user-certificate/J53254HBx3389BekAssb","Завантажити сертифікат")</f>
        <v>Завантажити сертифікат</v>
      </c>
    </row>
    <row r="3422" spans="1:6" ht="28.8" x14ac:dyDescent="0.3">
      <c r="A3422" s="2">
        <v>3421</v>
      </c>
      <c r="B3422" s="1" t="s">
        <v>7264</v>
      </c>
      <c r="C3422" s="1" t="s">
        <v>7239</v>
      </c>
      <c r="D3422" s="1" t="s">
        <v>7240</v>
      </c>
      <c r="E3422" s="1" t="s">
        <v>7265</v>
      </c>
      <c r="F3422" s="1" t="str">
        <f>HYPERLINK("https://talan.bank.gov.ua/get-user-certificate/J5325451MqkvoSw_t39T","Завантажити сертифікат")</f>
        <v>Завантажити сертифікат</v>
      </c>
    </row>
    <row r="3423" spans="1:6" ht="43.2" x14ac:dyDescent="0.3">
      <c r="A3423" s="2">
        <v>3422</v>
      </c>
      <c r="B3423" s="1" t="s">
        <v>7266</v>
      </c>
      <c r="C3423" s="1" t="s">
        <v>7267</v>
      </c>
      <c r="D3423" s="1" t="s">
        <v>7268</v>
      </c>
      <c r="E3423" s="1" t="s">
        <v>7269</v>
      </c>
      <c r="F3423" s="1" t="str">
        <f>HYPERLINK("https://talan.bank.gov.ua/get-user-certificate/J5325nwRr1yvXl3Y1qrr","Завантажити сертифікат")</f>
        <v>Завантажити сертифікат</v>
      </c>
    </row>
    <row r="3424" spans="1:6" ht="43.2" x14ac:dyDescent="0.3">
      <c r="A3424" s="2">
        <v>3423</v>
      </c>
      <c r="B3424" s="1" t="s">
        <v>7270</v>
      </c>
      <c r="C3424" s="1" t="s">
        <v>7267</v>
      </c>
      <c r="D3424" s="1" t="s">
        <v>7268</v>
      </c>
      <c r="E3424" s="1" t="s">
        <v>7271</v>
      </c>
      <c r="F3424" s="1" t="str">
        <f>HYPERLINK("https://talan.bank.gov.ua/get-user-certificate/J5325P-NKgVsy_p_Sgf2","Завантажити сертифікат")</f>
        <v>Завантажити сертифікат</v>
      </c>
    </row>
    <row r="3425" spans="1:6" ht="43.2" x14ac:dyDescent="0.3">
      <c r="A3425" s="2">
        <v>3424</v>
      </c>
      <c r="B3425" s="1" t="s">
        <v>7272</v>
      </c>
      <c r="C3425" s="1" t="s">
        <v>7267</v>
      </c>
      <c r="D3425" s="1" t="s">
        <v>7268</v>
      </c>
      <c r="E3425" s="1" t="s">
        <v>7273</v>
      </c>
      <c r="F3425" s="1" t="str">
        <f>HYPERLINK("https://talan.bank.gov.ua/get-user-certificate/J5325k2iB7RlC2SvgU3s","Завантажити сертифікат")</f>
        <v>Завантажити сертифікат</v>
      </c>
    </row>
    <row r="3426" spans="1:6" ht="43.2" x14ac:dyDescent="0.3">
      <c r="A3426" s="2">
        <v>3425</v>
      </c>
      <c r="B3426" s="1" t="s">
        <v>7274</v>
      </c>
      <c r="C3426" s="1" t="s">
        <v>7267</v>
      </c>
      <c r="D3426" s="1" t="s">
        <v>7268</v>
      </c>
      <c r="E3426" s="1" t="s">
        <v>7275</v>
      </c>
      <c r="F3426" s="1" t="str">
        <f>HYPERLINK("https://talan.bank.gov.ua/get-user-certificate/J5325QYZF9kJ0FXPANGI","Завантажити сертифікат")</f>
        <v>Завантажити сертифікат</v>
      </c>
    </row>
    <row r="3427" spans="1:6" ht="43.2" x14ac:dyDescent="0.3">
      <c r="A3427" s="2">
        <v>3426</v>
      </c>
      <c r="B3427" s="1" t="s">
        <v>7276</v>
      </c>
      <c r="C3427" s="1" t="s">
        <v>7267</v>
      </c>
      <c r="D3427" s="1" t="s">
        <v>7268</v>
      </c>
      <c r="E3427" s="1" t="s">
        <v>7277</v>
      </c>
      <c r="F3427" s="1" t="str">
        <f>HYPERLINK("https://talan.bank.gov.ua/get-user-certificate/J53252SeqPV4rXH9uDo5","Завантажити сертифікат")</f>
        <v>Завантажити сертифікат</v>
      </c>
    </row>
    <row r="3428" spans="1:6" x14ac:dyDescent="0.3">
      <c r="A3428" s="2">
        <v>3427</v>
      </c>
      <c r="B3428" s="1" t="s">
        <v>7278</v>
      </c>
      <c r="C3428" s="1" t="s">
        <v>7279</v>
      </c>
      <c r="D3428" s="1" t="s">
        <v>7280</v>
      </c>
      <c r="E3428" s="1" t="s">
        <v>7281</v>
      </c>
      <c r="F3428" s="1" t="str">
        <f>HYPERLINK("https://talan.bank.gov.ua/get-user-certificate/J5325yP-14WLEWJDZXz7","Завантажити сертифікат")</f>
        <v>Завантажити сертифікат</v>
      </c>
    </row>
    <row r="3429" spans="1:6" x14ac:dyDescent="0.3">
      <c r="A3429" s="2">
        <v>3428</v>
      </c>
      <c r="B3429" s="1" t="s">
        <v>7282</v>
      </c>
      <c r="C3429" s="1" t="s">
        <v>7279</v>
      </c>
      <c r="D3429" s="1" t="s">
        <v>7280</v>
      </c>
      <c r="E3429" s="1" t="s">
        <v>7283</v>
      </c>
      <c r="F3429" s="1" t="str">
        <f>HYPERLINK("https://talan.bank.gov.ua/get-user-certificate/J5325cvh2mm7VaecdBLe","Завантажити сертифікат")</f>
        <v>Завантажити сертифікат</v>
      </c>
    </row>
    <row r="3430" spans="1:6" x14ac:dyDescent="0.3">
      <c r="A3430" s="2">
        <v>3429</v>
      </c>
      <c r="B3430" s="1" t="s">
        <v>7284</v>
      </c>
      <c r="C3430" s="1" t="s">
        <v>7279</v>
      </c>
      <c r="D3430" s="1" t="s">
        <v>7280</v>
      </c>
      <c r="E3430" s="1" t="s">
        <v>7285</v>
      </c>
      <c r="F3430" s="1" t="str">
        <f>HYPERLINK("https://talan.bank.gov.ua/get-user-certificate/J53254R1nOqKPyDScWmX","Завантажити сертифікат")</f>
        <v>Завантажити сертифікат</v>
      </c>
    </row>
    <row r="3431" spans="1:6" x14ac:dyDescent="0.3">
      <c r="A3431" s="2">
        <v>3430</v>
      </c>
      <c r="B3431" s="1" t="s">
        <v>7286</v>
      </c>
      <c r="C3431" s="1" t="s">
        <v>7279</v>
      </c>
      <c r="D3431" s="1" t="s">
        <v>7280</v>
      </c>
      <c r="E3431" s="1" t="s">
        <v>7287</v>
      </c>
      <c r="F3431" s="1" t="str">
        <f>HYPERLINK("https://talan.bank.gov.ua/get-user-certificate/J5325TJR9RcaGxxF7eF4","Завантажити сертифікат")</f>
        <v>Завантажити сертифікат</v>
      </c>
    </row>
    <row r="3432" spans="1:6" x14ac:dyDescent="0.3">
      <c r="A3432" s="2">
        <v>3431</v>
      </c>
      <c r="B3432" s="1" t="s">
        <v>7288</v>
      </c>
      <c r="C3432" s="1" t="s">
        <v>7279</v>
      </c>
      <c r="D3432" s="1" t="s">
        <v>7280</v>
      </c>
      <c r="E3432" s="1" t="s">
        <v>7289</v>
      </c>
      <c r="F3432" s="1" t="str">
        <f>HYPERLINK("https://talan.bank.gov.ua/get-user-certificate/J5325kII3glehNWeU023","Завантажити сертифікат")</f>
        <v>Завантажити сертифікат</v>
      </c>
    </row>
    <row r="3433" spans="1:6" x14ac:dyDescent="0.3">
      <c r="A3433" s="2">
        <v>3432</v>
      </c>
      <c r="B3433" s="1" t="s">
        <v>7290</v>
      </c>
      <c r="C3433" s="1" t="s">
        <v>7279</v>
      </c>
      <c r="D3433" s="1" t="s">
        <v>7280</v>
      </c>
      <c r="E3433" s="1" t="s">
        <v>7291</v>
      </c>
      <c r="F3433" s="1" t="str">
        <f>HYPERLINK("https://talan.bank.gov.ua/get-user-certificate/J5325mGnOx_aKSGm6uWp","Завантажити сертифікат")</f>
        <v>Завантажити сертифікат</v>
      </c>
    </row>
    <row r="3434" spans="1:6" x14ac:dyDescent="0.3">
      <c r="A3434" s="2">
        <v>3433</v>
      </c>
      <c r="B3434" s="1" t="s">
        <v>7292</v>
      </c>
      <c r="C3434" s="1" t="s">
        <v>7279</v>
      </c>
      <c r="D3434" s="1" t="s">
        <v>7280</v>
      </c>
      <c r="E3434" s="1" t="s">
        <v>7293</v>
      </c>
      <c r="F3434" s="1" t="str">
        <f>HYPERLINK("https://talan.bank.gov.ua/get-user-certificate/J5325SKwAZNIb0tK6bcM","Завантажити сертифікат")</f>
        <v>Завантажити сертифікат</v>
      </c>
    </row>
    <row r="3435" spans="1:6" x14ac:dyDescent="0.3">
      <c r="A3435" s="2">
        <v>3434</v>
      </c>
      <c r="B3435" s="1" t="s">
        <v>7294</v>
      </c>
      <c r="C3435" s="1" t="s">
        <v>7279</v>
      </c>
      <c r="D3435" s="1" t="s">
        <v>7280</v>
      </c>
      <c r="E3435" s="1" t="s">
        <v>7295</v>
      </c>
      <c r="F3435" s="1" t="str">
        <f>HYPERLINK("https://talan.bank.gov.ua/get-user-certificate/J5325r7iF20wJnkvsVLw","Завантажити сертифікат")</f>
        <v>Завантажити сертифікат</v>
      </c>
    </row>
    <row r="3436" spans="1:6" x14ac:dyDescent="0.3">
      <c r="A3436" s="2">
        <v>3435</v>
      </c>
      <c r="B3436" s="1" t="s">
        <v>7296</v>
      </c>
      <c r="C3436" s="1" t="s">
        <v>7279</v>
      </c>
      <c r="D3436" s="1" t="s">
        <v>7280</v>
      </c>
      <c r="E3436" s="1" t="s">
        <v>7297</v>
      </c>
      <c r="F3436" s="1" t="str">
        <f>HYPERLINK("https://talan.bank.gov.ua/get-user-certificate/J5325mnyf75aV-kjw4Bw","Завантажити сертифікат")</f>
        <v>Завантажити сертифікат</v>
      </c>
    </row>
    <row r="3437" spans="1:6" x14ac:dyDescent="0.3">
      <c r="A3437" s="2">
        <v>3436</v>
      </c>
      <c r="B3437" s="1" t="s">
        <v>7298</v>
      </c>
      <c r="C3437" s="1" t="s">
        <v>7279</v>
      </c>
      <c r="D3437" s="1" t="s">
        <v>7280</v>
      </c>
      <c r="E3437" s="1" t="s">
        <v>7299</v>
      </c>
      <c r="F3437" s="1" t="str">
        <f>HYPERLINK("https://talan.bank.gov.ua/get-user-certificate/J5325c9wJm-LycR9d_vB","Завантажити сертифікат")</f>
        <v>Завантажити сертифікат</v>
      </c>
    </row>
    <row r="3438" spans="1:6" x14ac:dyDescent="0.3">
      <c r="A3438" s="2">
        <v>3437</v>
      </c>
      <c r="B3438" s="1" t="s">
        <v>7300</v>
      </c>
      <c r="C3438" s="1" t="s">
        <v>7279</v>
      </c>
      <c r="D3438" s="1" t="s">
        <v>7280</v>
      </c>
      <c r="E3438" s="1" t="s">
        <v>7301</v>
      </c>
      <c r="F3438" s="1" t="str">
        <f>HYPERLINK("https://talan.bank.gov.ua/get-user-certificate/J532512zPUd8ewLWO12w","Завантажити сертифікат")</f>
        <v>Завантажити сертифікат</v>
      </c>
    </row>
    <row r="3439" spans="1:6" x14ac:dyDescent="0.3">
      <c r="A3439" s="2">
        <v>3438</v>
      </c>
      <c r="B3439" s="1" t="s">
        <v>7302</v>
      </c>
      <c r="C3439" s="1" t="s">
        <v>7279</v>
      </c>
      <c r="D3439" s="1" t="s">
        <v>7280</v>
      </c>
      <c r="E3439" s="1" t="s">
        <v>7303</v>
      </c>
      <c r="F3439" s="1" t="str">
        <f>HYPERLINK("https://talan.bank.gov.ua/get-user-certificate/J5325w3udOp59-WNqSf4","Завантажити сертифікат")</f>
        <v>Завантажити сертифікат</v>
      </c>
    </row>
    <row r="3440" spans="1:6" x14ac:dyDescent="0.3">
      <c r="A3440" s="2">
        <v>3439</v>
      </c>
      <c r="B3440" s="1" t="s">
        <v>7304</v>
      </c>
      <c r="C3440" s="1" t="s">
        <v>7279</v>
      </c>
      <c r="D3440" s="1" t="s">
        <v>7280</v>
      </c>
      <c r="E3440" s="1" t="s">
        <v>7305</v>
      </c>
      <c r="F3440" s="1" t="str">
        <f>HYPERLINK("https://talan.bank.gov.ua/get-user-certificate/J5325Oiju3KM6ha8Sj_t","Завантажити сертифікат")</f>
        <v>Завантажити сертифікат</v>
      </c>
    </row>
    <row r="3441" spans="1:6" ht="28.8" x14ac:dyDescent="0.3">
      <c r="A3441" s="2">
        <v>3440</v>
      </c>
      <c r="B3441" s="1" t="s">
        <v>7306</v>
      </c>
      <c r="C3441" s="1" t="s">
        <v>7307</v>
      </c>
      <c r="D3441" s="1" t="s">
        <v>7308</v>
      </c>
      <c r="E3441" s="1" t="s">
        <v>7309</v>
      </c>
      <c r="F3441" s="1" t="str">
        <f>HYPERLINK("https://talan.bank.gov.ua/get-user-certificate/J532569pbSK6oOAOdShe","Завантажити сертифікат")</f>
        <v>Завантажити сертифікат</v>
      </c>
    </row>
    <row r="3442" spans="1:6" ht="28.8" x14ac:dyDescent="0.3">
      <c r="A3442" s="2">
        <v>3441</v>
      </c>
      <c r="B3442" s="1" t="s">
        <v>7310</v>
      </c>
      <c r="C3442" s="1" t="s">
        <v>7307</v>
      </c>
      <c r="D3442" s="1" t="s">
        <v>7308</v>
      </c>
      <c r="E3442" s="1" t="s">
        <v>7311</v>
      </c>
      <c r="F3442" s="1" t="str">
        <f>HYPERLINK("https://talan.bank.gov.ua/get-user-certificate/J5325QBawuEIpuFoBrww","Завантажити сертифікат")</f>
        <v>Завантажити сертифікат</v>
      </c>
    </row>
    <row r="3443" spans="1:6" ht="28.8" x14ac:dyDescent="0.3">
      <c r="A3443" s="2">
        <v>3442</v>
      </c>
      <c r="B3443" s="1" t="s">
        <v>7312</v>
      </c>
      <c r="C3443" s="1" t="s">
        <v>7307</v>
      </c>
      <c r="D3443" s="1" t="s">
        <v>7308</v>
      </c>
      <c r="E3443" s="1" t="s">
        <v>7313</v>
      </c>
      <c r="F3443" s="1" t="str">
        <f>HYPERLINK("https://talan.bank.gov.ua/get-user-certificate/J5325sC9_NqUQTO7XOhf","Завантажити сертифікат")</f>
        <v>Завантажити сертифікат</v>
      </c>
    </row>
    <row r="3444" spans="1:6" ht="28.8" x14ac:dyDescent="0.3">
      <c r="A3444" s="2">
        <v>3443</v>
      </c>
      <c r="B3444" s="1" t="s">
        <v>7314</v>
      </c>
      <c r="C3444" s="1" t="s">
        <v>7307</v>
      </c>
      <c r="D3444" s="1" t="s">
        <v>7308</v>
      </c>
      <c r="E3444" s="1" t="s">
        <v>7315</v>
      </c>
      <c r="F3444" s="1" t="str">
        <f>HYPERLINK("https://talan.bank.gov.ua/get-user-certificate/J5325ooP-5kRluVSkgZt","Завантажити сертифікат")</f>
        <v>Завантажити сертифікат</v>
      </c>
    </row>
    <row r="3445" spans="1:6" ht="28.8" x14ac:dyDescent="0.3">
      <c r="A3445" s="2">
        <v>3444</v>
      </c>
      <c r="B3445" s="1" t="s">
        <v>7316</v>
      </c>
      <c r="C3445" s="1" t="s">
        <v>7307</v>
      </c>
      <c r="D3445" s="1" t="s">
        <v>7308</v>
      </c>
      <c r="E3445" s="1" t="s">
        <v>7317</v>
      </c>
      <c r="F3445" s="1" t="str">
        <f>HYPERLINK("https://talan.bank.gov.ua/get-user-certificate/J5325_-Dagqt4-IlDpEh","Завантажити сертифікат")</f>
        <v>Завантажити сертифікат</v>
      </c>
    </row>
    <row r="3446" spans="1:6" ht="28.8" x14ac:dyDescent="0.3">
      <c r="A3446" s="2">
        <v>3445</v>
      </c>
      <c r="B3446" s="1" t="s">
        <v>7318</v>
      </c>
      <c r="C3446" s="1" t="s">
        <v>7307</v>
      </c>
      <c r="D3446" s="1" t="s">
        <v>7308</v>
      </c>
      <c r="E3446" s="1" t="s">
        <v>7319</v>
      </c>
      <c r="F3446" s="1" t="str">
        <f>HYPERLINK("https://talan.bank.gov.ua/get-user-certificate/J53256bvwkEqIeQ08GfB","Завантажити сертифікат")</f>
        <v>Завантажити сертифікат</v>
      </c>
    </row>
    <row r="3447" spans="1:6" ht="28.8" x14ac:dyDescent="0.3">
      <c r="A3447" s="2">
        <v>3446</v>
      </c>
      <c r="B3447" s="1" t="s">
        <v>7320</v>
      </c>
      <c r="C3447" s="1" t="s">
        <v>7307</v>
      </c>
      <c r="D3447" s="1" t="s">
        <v>7308</v>
      </c>
      <c r="E3447" s="1" t="s">
        <v>7321</v>
      </c>
      <c r="F3447" s="1" t="str">
        <f>HYPERLINK("https://talan.bank.gov.ua/get-user-certificate/J5325x-CXyU5Pq95KmES","Завантажити сертифікат")</f>
        <v>Завантажити сертифікат</v>
      </c>
    </row>
    <row r="3448" spans="1:6" ht="28.8" x14ac:dyDescent="0.3">
      <c r="A3448" s="2">
        <v>3447</v>
      </c>
      <c r="B3448" s="1" t="s">
        <v>7322</v>
      </c>
      <c r="C3448" s="1" t="s">
        <v>7307</v>
      </c>
      <c r="D3448" s="1" t="s">
        <v>7308</v>
      </c>
      <c r="E3448" s="1" t="s">
        <v>7323</v>
      </c>
      <c r="F3448" s="1" t="str">
        <f>HYPERLINK("https://talan.bank.gov.ua/get-user-certificate/J53258voOrgtoLt2uEUE","Завантажити сертифікат")</f>
        <v>Завантажити сертифікат</v>
      </c>
    </row>
    <row r="3449" spans="1:6" ht="28.8" x14ac:dyDescent="0.3">
      <c r="A3449" s="2">
        <v>3448</v>
      </c>
      <c r="B3449" s="1" t="s">
        <v>7324</v>
      </c>
      <c r="C3449" s="1" t="s">
        <v>7307</v>
      </c>
      <c r="D3449" s="1" t="s">
        <v>7308</v>
      </c>
      <c r="E3449" s="1" t="s">
        <v>7325</v>
      </c>
      <c r="F3449" s="1" t="str">
        <f>HYPERLINK("https://talan.bank.gov.ua/get-user-certificate/J5325lSgaGLH05SUbrbz","Завантажити сертифікат")</f>
        <v>Завантажити сертифікат</v>
      </c>
    </row>
    <row r="3450" spans="1:6" ht="28.8" x14ac:dyDescent="0.3">
      <c r="A3450" s="2">
        <v>3449</v>
      </c>
      <c r="B3450" s="1" t="s">
        <v>7326</v>
      </c>
      <c r="C3450" s="1" t="s">
        <v>7307</v>
      </c>
      <c r="D3450" s="1" t="s">
        <v>7308</v>
      </c>
      <c r="E3450" s="1" t="s">
        <v>7327</v>
      </c>
      <c r="F3450" s="1" t="str">
        <f>HYPERLINK("https://talan.bank.gov.ua/get-user-certificate/J53250tvygX0DpJtfx0u","Завантажити сертифікат")</f>
        <v>Завантажити сертифікат</v>
      </c>
    </row>
    <row r="3451" spans="1:6" ht="28.8" x14ac:dyDescent="0.3">
      <c r="A3451" s="2">
        <v>3450</v>
      </c>
      <c r="B3451" s="1" t="s">
        <v>7328</v>
      </c>
      <c r="C3451" s="1" t="s">
        <v>7307</v>
      </c>
      <c r="D3451" s="1" t="s">
        <v>7308</v>
      </c>
      <c r="E3451" s="1" t="s">
        <v>7329</v>
      </c>
      <c r="F3451" s="1" t="str">
        <f>HYPERLINK("https://talan.bank.gov.ua/get-user-certificate/J5325o3KhLFU4W6bA6nx","Завантажити сертифікат")</f>
        <v>Завантажити сертифікат</v>
      </c>
    </row>
    <row r="3452" spans="1:6" ht="28.8" x14ac:dyDescent="0.3">
      <c r="A3452" s="2">
        <v>3451</v>
      </c>
      <c r="B3452" s="1" t="s">
        <v>7330</v>
      </c>
      <c r="C3452" s="1" t="s">
        <v>7307</v>
      </c>
      <c r="D3452" s="1" t="s">
        <v>7308</v>
      </c>
      <c r="E3452" s="1" t="s">
        <v>7331</v>
      </c>
      <c r="F3452" s="1" t="str">
        <f>HYPERLINK("https://talan.bank.gov.ua/get-user-certificate/J5325fO0-QeBSirO5Tfi","Завантажити сертифікат")</f>
        <v>Завантажити сертифікат</v>
      </c>
    </row>
    <row r="3453" spans="1:6" ht="28.8" x14ac:dyDescent="0.3">
      <c r="A3453" s="2">
        <v>3452</v>
      </c>
      <c r="B3453" s="1" t="s">
        <v>7332</v>
      </c>
      <c r="C3453" s="1" t="s">
        <v>7307</v>
      </c>
      <c r="D3453" s="1" t="s">
        <v>7308</v>
      </c>
      <c r="E3453" s="1" t="s">
        <v>7333</v>
      </c>
      <c r="F3453" s="1" t="str">
        <f>HYPERLINK("https://talan.bank.gov.ua/get-user-certificate/J5325fyog7umUUE6shTJ","Завантажити сертифікат")</f>
        <v>Завантажити сертифікат</v>
      </c>
    </row>
    <row r="3454" spans="1:6" ht="28.8" x14ac:dyDescent="0.3">
      <c r="A3454" s="2">
        <v>3453</v>
      </c>
      <c r="B3454" s="1" t="s">
        <v>7334</v>
      </c>
      <c r="C3454" s="1" t="s">
        <v>7307</v>
      </c>
      <c r="D3454" s="1" t="s">
        <v>7308</v>
      </c>
      <c r="E3454" s="1" t="s">
        <v>7335</v>
      </c>
      <c r="F3454" s="1" t="str">
        <f>HYPERLINK("https://talan.bank.gov.ua/get-user-certificate/J5325_RaX97pEcCyTFx5","Завантажити сертифікат")</f>
        <v>Завантажити сертифікат</v>
      </c>
    </row>
    <row r="3455" spans="1:6" ht="28.8" x14ac:dyDescent="0.3">
      <c r="A3455" s="2">
        <v>3454</v>
      </c>
      <c r="B3455" s="1" t="s">
        <v>7336</v>
      </c>
      <c r="C3455" s="1" t="s">
        <v>7337</v>
      </c>
      <c r="D3455" s="1" t="s">
        <v>7338</v>
      </c>
      <c r="E3455" s="1" t="s">
        <v>7339</v>
      </c>
      <c r="F3455" s="1" t="str">
        <f>HYPERLINK("https://talan.bank.gov.ua/get-user-certificate/J53255QLGRKo9O46bDem","Завантажити сертифікат")</f>
        <v>Завантажити сертифікат</v>
      </c>
    </row>
    <row r="3456" spans="1:6" ht="28.8" x14ac:dyDescent="0.3">
      <c r="A3456" s="2">
        <v>3455</v>
      </c>
      <c r="B3456" s="1" t="s">
        <v>7340</v>
      </c>
      <c r="C3456" s="1" t="s">
        <v>7337</v>
      </c>
      <c r="D3456" s="1" t="s">
        <v>7338</v>
      </c>
      <c r="E3456" s="1" t="s">
        <v>7341</v>
      </c>
      <c r="F3456" s="1" t="str">
        <f>HYPERLINK("https://talan.bank.gov.ua/get-user-certificate/J5325e2-mJhnMsqgal9_","Завантажити сертифікат")</f>
        <v>Завантажити сертифікат</v>
      </c>
    </row>
    <row r="3457" spans="1:6" ht="28.8" x14ac:dyDescent="0.3">
      <c r="A3457" s="2">
        <v>3456</v>
      </c>
      <c r="B3457" s="1" t="s">
        <v>7342</v>
      </c>
      <c r="C3457" s="1" t="s">
        <v>7337</v>
      </c>
      <c r="D3457" s="1" t="s">
        <v>7338</v>
      </c>
      <c r="E3457" s="1" t="s">
        <v>7343</v>
      </c>
      <c r="F3457" s="1" t="str">
        <f>HYPERLINK("https://talan.bank.gov.ua/get-user-certificate/J5325qPy4V58sdPANx2j","Завантажити сертифікат")</f>
        <v>Завантажити сертифікат</v>
      </c>
    </row>
    <row r="3458" spans="1:6" ht="28.8" x14ac:dyDescent="0.3">
      <c r="A3458" s="2">
        <v>3457</v>
      </c>
      <c r="B3458" s="1" t="s">
        <v>7344</v>
      </c>
      <c r="C3458" s="1" t="s">
        <v>7337</v>
      </c>
      <c r="D3458" s="1" t="s">
        <v>7338</v>
      </c>
      <c r="E3458" s="1" t="s">
        <v>7345</v>
      </c>
      <c r="F3458" s="1" t="str">
        <f>HYPERLINK("https://talan.bank.gov.ua/get-user-certificate/J5325SjZ7QA7CVVVA69s","Завантажити сертифікат")</f>
        <v>Завантажити сертифікат</v>
      </c>
    </row>
    <row r="3459" spans="1:6" ht="28.8" x14ac:dyDescent="0.3">
      <c r="A3459" s="2">
        <v>3458</v>
      </c>
      <c r="B3459" s="1" t="s">
        <v>7346</v>
      </c>
      <c r="C3459" s="1" t="s">
        <v>7337</v>
      </c>
      <c r="D3459" s="1" t="s">
        <v>7338</v>
      </c>
      <c r="E3459" s="1" t="s">
        <v>7347</v>
      </c>
      <c r="F3459" s="1" t="str">
        <f>HYPERLINK("https://talan.bank.gov.ua/get-user-certificate/J5325N9WZrm9zIFqFNJb","Завантажити сертифікат")</f>
        <v>Завантажити сертифікат</v>
      </c>
    </row>
    <row r="3460" spans="1:6" ht="28.8" x14ac:dyDescent="0.3">
      <c r="A3460" s="2">
        <v>3459</v>
      </c>
      <c r="B3460" s="1" t="s">
        <v>7348</v>
      </c>
      <c r="C3460" s="1" t="s">
        <v>7337</v>
      </c>
      <c r="D3460" s="1" t="s">
        <v>7338</v>
      </c>
      <c r="E3460" s="1" t="s">
        <v>7349</v>
      </c>
      <c r="F3460" s="1" t="str">
        <f>HYPERLINK("https://talan.bank.gov.ua/get-user-certificate/J5325OghK-y8gkO6YFWj","Завантажити сертифікат")</f>
        <v>Завантажити сертифікат</v>
      </c>
    </row>
    <row r="3461" spans="1:6" ht="28.8" x14ac:dyDescent="0.3">
      <c r="A3461" s="2">
        <v>3460</v>
      </c>
      <c r="B3461" s="1" t="s">
        <v>7350</v>
      </c>
      <c r="C3461" s="1" t="s">
        <v>7337</v>
      </c>
      <c r="D3461" s="1" t="s">
        <v>7338</v>
      </c>
      <c r="E3461" s="1" t="s">
        <v>7351</v>
      </c>
      <c r="F3461" s="1" t="str">
        <f>HYPERLINK("https://talan.bank.gov.ua/get-user-certificate/J5325w3R1-m0HAolQbU3","Завантажити сертифікат")</f>
        <v>Завантажити сертифікат</v>
      </c>
    </row>
    <row r="3462" spans="1:6" ht="28.8" x14ac:dyDescent="0.3">
      <c r="A3462" s="2">
        <v>3461</v>
      </c>
      <c r="B3462" s="1" t="s">
        <v>7352</v>
      </c>
      <c r="C3462" s="1" t="s">
        <v>7337</v>
      </c>
      <c r="D3462" s="1" t="s">
        <v>7338</v>
      </c>
      <c r="E3462" s="1" t="s">
        <v>7353</v>
      </c>
      <c r="F3462" s="1" t="str">
        <f>HYPERLINK("https://talan.bank.gov.ua/get-user-certificate/J5325mmXUcIqF8czOoFM","Завантажити сертифікат")</f>
        <v>Завантажити сертифікат</v>
      </c>
    </row>
    <row r="3463" spans="1:6" ht="28.8" x14ac:dyDescent="0.3">
      <c r="A3463" s="2">
        <v>3462</v>
      </c>
      <c r="B3463" s="1" t="s">
        <v>7354</v>
      </c>
      <c r="C3463" s="1" t="s">
        <v>7337</v>
      </c>
      <c r="D3463" s="1" t="s">
        <v>7338</v>
      </c>
      <c r="E3463" s="1" t="s">
        <v>7355</v>
      </c>
      <c r="F3463" s="1" t="str">
        <f>HYPERLINK("https://talan.bank.gov.ua/get-user-certificate/J5325HvOhtV5rlii5O1q","Завантажити сертифікат")</f>
        <v>Завантажити сертифікат</v>
      </c>
    </row>
    <row r="3464" spans="1:6" ht="28.8" x14ac:dyDescent="0.3">
      <c r="A3464" s="2">
        <v>3463</v>
      </c>
      <c r="B3464" s="1" t="s">
        <v>7356</v>
      </c>
      <c r="C3464" s="1" t="s">
        <v>7337</v>
      </c>
      <c r="D3464" s="1" t="s">
        <v>7338</v>
      </c>
      <c r="E3464" s="1" t="s">
        <v>7357</v>
      </c>
      <c r="F3464" s="1" t="str">
        <f>HYPERLINK("https://talan.bank.gov.ua/get-user-certificate/J53251pMGcZQIKNl2ZJk","Завантажити сертифікат")</f>
        <v>Завантажити сертифікат</v>
      </c>
    </row>
    <row r="3465" spans="1:6" ht="28.8" x14ac:dyDescent="0.3">
      <c r="A3465" s="2">
        <v>3464</v>
      </c>
      <c r="B3465" s="1" t="s">
        <v>7358</v>
      </c>
      <c r="C3465" s="1" t="s">
        <v>7337</v>
      </c>
      <c r="D3465" s="1" t="s">
        <v>7338</v>
      </c>
      <c r="E3465" s="1" t="s">
        <v>7359</v>
      </c>
      <c r="F3465" s="1" t="str">
        <f>HYPERLINK("https://talan.bank.gov.ua/get-user-certificate/J53252_jQvQuAAWhT6IW","Завантажити сертифікат")</f>
        <v>Завантажити сертифікат</v>
      </c>
    </row>
    <row r="3466" spans="1:6" ht="28.8" x14ac:dyDescent="0.3">
      <c r="A3466" s="2">
        <v>3465</v>
      </c>
      <c r="B3466" s="1" t="s">
        <v>7360</v>
      </c>
      <c r="C3466" s="1" t="s">
        <v>7337</v>
      </c>
      <c r="D3466" s="1" t="s">
        <v>7338</v>
      </c>
      <c r="E3466" s="1" t="s">
        <v>7361</v>
      </c>
      <c r="F3466" s="1" t="str">
        <f>HYPERLINK("https://talan.bank.gov.ua/get-user-certificate/J53252qkQeWroun31vh4","Завантажити сертифікат")</f>
        <v>Завантажити сертифікат</v>
      </c>
    </row>
    <row r="3467" spans="1:6" ht="28.8" x14ac:dyDescent="0.3">
      <c r="A3467" s="2">
        <v>3466</v>
      </c>
      <c r="B3467" s="1" t="s">
        <v>7362</v>
      </c>
      <c r="C3467" s="1" t="s">
        <v>7337</v>
      </c>
      <c r="D3467" s="1" t="s">
        <v>7338</v>
      </c>
      <c r="E3467" s="1" t="s">
        <v>7363</v>
      </c>
      <c r="F3467" s="1" t="str">
        <f>HYPERLINK("https://talan.bank.gov.ua/get-user-certificate/J5325TVm9NjPrd32Ayij","Завантажити сертифікат")</f>
        <v>Завантажити сертифікат</v>
      </c>
    </row>
    <row r="3468" spans="1:6" ht="28.8" x14ac:dyDescent="0.3">
      <c r="A3468" s="2">
        <v>3467</v>
      </c>
      <c r="B3468" s="1" t="s">
        <v>7364</v>
      </c>
      <c r="C3468" s="1" t="s">
        <v>7337</v>
      </c>
      <c r="D3468" s="1" t="s">
        <v>7338</v>
      </c>
      <c r="E3468" s="1" t="s">
        <v>7365</v>
      </c>
      <c r="F3468" s="1" t="str">
        <f>HYPERLINK("https://talan.bank.gov.ua/get-user-certificate/J5325_Sv918riUkNYKPv","Завантажити сертифікат")</f>
        <v>Завантажити сертифікат</v>
      </c>
    </row>
    <row r="3469" spans="1:6" ht="28.8" x14ac:dyDescent="0.3">
      <c r="A3469" s="2">
        <v>3468</v>
      </c>
      <c r="B3469" s="1" t="s">
        <v>7366</v>
      </c>
      <c r="C3469" s="1" t="s">
        <v>7337</v>
      </c>
      <c r="D3469" s="1" t="s">
        <v>7338</v>
      </c>
      <c r="E3469" s="1" t="s">
        <v>7367</v>
      </c>
      <c r="F3469" s="1" t="str">
        <f>HYPERLINK("https://talan.bank.gov.ua/get-user-certificate/J5325jb-EDA0PE__2yd4","Завантажити сертифікат")</f>
        <v>Завантажити сертифікат</v>
      </c>
    </row>
    <row r="3470" spans="1:6" ht="28.8" x14ac:dyDescent="0.3">
      <c r="A3470" s="2">
        <v>3469</v>
      </c>
      <c r="B3470" s="1" t="s">
        <v>7368</v>
      </c>
      <c r="C3470" s="1" t="s">
        <v>7337</v>
      </c>
      <c r="D3470" s="1" t="s">
        <v>7338</v>
      </c>
      <c r="E3470" s="1" t="s">
        <v>7369</v>
      </c>
      <c r="F3470" s="1" t="str">
        <f>HYPERLINK("https://talan.bank.gov.ua/get-user-certificate/J5325FB2cgWcGLHeA6lR","Завантажити сертифікат")</f>
        <v>Завантажити сертифікат</v>
      </c>
    </row>
    <row r="3471" spans="1:6" ht="28.8" x14ac:dyDescent="0.3">
      <c r="A3471" s="2">
        <v>3470</v>
      </c>
      <c r="B3471" s="1" t="s">
        <v>7370</v>
      </c>
      <c r="C3471" s="1" t="s">
        <v>7337</v>
      </c>
      <c r="D3471" s="1" t="s">
        <v>7338</v>
      </c>
      <c r="E3471" s="1" t="s">
        <v>7371</v>
      </c>
      <c r="F3471" s="1" t="str">
        <f>HYPERLINK("https://talan.bank.gov.ua/get-user-certificate/J5325nSaDr9MREnnkiZ1","Завантажити сертифікат")</f>
        <v>Завантажити сертифікат</v>
      </c>
    </row>
    <row r="3472" spans="1:6" ht="28.8" x14ac:dyDescent="0.3">
      <c r="A3472" s="2">
        <v>3471</v>
      </c>
      <c r="B3472" s="1" t="s">
        <v>7372</v>
      </c>
      <c r="C3472" s="1" t="s">
        <v>7337</v>
      </c>
      <c r="D3472" s="1" t="s">
        <v>7338</v>
      </c>
      <c r="E3472" s="1" t="s">
        <v>7373</v>
      </c>
      <c r="F3472" s="1" t="str">
        <f>HYPERLINK("https://talan.bank.gov.ua/get-user-certificate/J5325XRKz9QHrUdl38kU","Завантажити сертифікат")</f>
        <v>Завантажити сертифікат</v>
      </c>
    </row>
    <row r="3473" spans="1:6" ht="28.8" x14ac:dyDescent="0.3">
      <c r="A3473" s="2">
        <v>3472</v>
      </c>
      <c r="B3473" s="1" t="s">
        <v>7374</v>
      </c>
      <c r="C3473" s="1" t="s">
        <v>7337</v>
      </c>
      <c r="D3473" s="1" t="s">
        <v>7338</v>
      </c>
      <c r="E3473" s="1" t="s">
        <v>7375</v>
      </c>
      <c r="F3473" s="1" t="str">
        <f>HYPERLINK("https://talan.bank.gov.ua/get-user-certificate/J5325AzDYmk-l8OKSWvy","Завантажити сертифікат")</f>
        <v>Завантажити сертифікат</v>
      </c>
    </row>
    <row r="3474" spans="1:6" ht="28.8" x14ac:dyDescent="0.3">
      <c r="A3474" s="2">
        <v>3473</v>
      </c>
      <c r="B3474" s="1" t="s">
        <v>7376</v>
      </c>
      <c r="C3474" s="1" t="s">
        <v>7337</v>
      </c>
      <c r="D3474" s="1" t="s">
        <v>7338</v>
      </c>
      <c r="E3474" s="1" t="s">
        <v>7377</v>
      </c>
      <c r="F3474" s="1" t="str">
        <f>HYPERLINK("https://talan.bank.gov.ua/get-user-certificate/J5325CBbE6oj9c9cjiuz","Завантажити сертифікат")</f>
        <v>Завантажити сертифікат</v>
      </c>
    </row>
    <row r="3475" spans="1:6" ht="28.8" x14ac:dyDescent="0.3">
      <c r="A3475" s="2">
        <v>3474</v>
      </c>
      <c r="B3475" s="1" t="s">
        <v>7378</v>
      </c>
      <c r="C3475" s="1" t="s">
        <v>7337</v>
      </c>
      <c r="D3475" s="1" t="s">
        <v>7338</v>
      </c>
      <c r="E3475" s="1" t="s">
        <v>7379</v>
      </c>
      <c r="F3475" s="1" t="str">
        <f>HYPERLINK("https://talan.bank.gov.ua/get-user-certificate/J5325RPadB2TdxeHcyhL","Завантажити сертифікат")</f>
        <v>Завантажити сертифікат</v>
      </c>
    </row>
    <row r="3476" spans="1:6" ht="28.8" x14ac:dyDescent="0.3">
      <c r="A3476" s="2">
        <v>3475</v>
      </c>
      <c r="B3476" s="1" t="s">
        <v>7380</v>
      </c>
      <c r="C3476" s="1" t="s">
        <v>7337</v>
      </c>
      <c r="D3476" s="1" t="s">
        <v>7338</v>
      </c>
      <c r="E3476" s="1" t="s">
        <v>7381</v>
      </c>
      <c r="F3476" s="1" t="str">
        <f>HYPERLINK("https://talan.bank.gov.ua/get-user-certificate/J5325oN47o9eBl125Ul1","Завантажити сертифікат")</f>
        <v>Завантажити сертифікат</v>
      </c>
    </row>
    <row r="3477" spans="1:6" ht="28.8" x14ac:dyDescent="0.3">
      <c r="A3477" s="2">
        <v>3476</v>
      </c>
      <c r="B3477" s="1" t="s">
        <v>7382</v>
      </c>
      <c r="C3477" s="1" t="s">
        <v>7337</v>
      </c>
      <c r="D3477" s="1" t="s">
        <v>7338</v>
      </c>
      <c r="E3477" s="1" t="s">
        <v>7383</v>
      </c>
      <c r="F3477" s="1" t="str">
        <f>HYPERLINK("https://talan.bank.gov.ua/get-user-certificate/J5325EqJvOCX4i6SZHxc","Завантажити сертифікат")</f>
        <v>Завантажити сертифікат</v>
      </c>
    </row>
    <row r="3478" spans="1:6" ht="28.8" x14ac:dyDescent="0.3">
      <c r="A3478" s="2">
        <v>3477</v>
      </c>
      <c r="B3478" s="1" t="s">
        <v>7384</v>
      </c>
      <c r="C3478" s="1" t="s">
        <v>7337</v>
      </c>
      <c r="D3478" s="1" t="s">
        <v>7338</v>
      </c>
      <c r="E3478" s="1" t="s">
        <v>7385</v>
      </c>
      <c r="F3478" s="1" t="str">
        <f>HYPERLINK("https://talan.bank.gov.ua/get-user-certificate/J5325B3Da2lYrakD74bt","Завантажити сертифікат")</f>
        <v>Завантажити сертифікат</v>
      </c>
    </row>
    <row r="3479" spans="1:6" ht="28.8" x14ac:dyDescent="0.3">
      <c r="A3479" s="2">
        <v>3478</v>
      </c>
      <c r="B3479" s="1" t="s">
        <v>7386</v>
      </c>
      <c r="C3479" s="1" t="s">
        <v>7337</v>
      </c>
      <c r="D3479" s="1" t="s">
        <v>7338</v>
      </c>
      <c r="E3479" s="1" t="s">
        <v>7387</v>
      </c>
      <c r="F3479" s="1" t="str">
        <f>HYPERLINK("https://talan.bank.gov.ua/get-user-certificate/J5325k3iC_aORDc5q2Pe","Завантажити сертифікат")</f>
        <v>Завантажити сертифікат</v>
      </c>
    </row>
    <row r="3480" spans="1:6" ht="28.8" x14ac:dyDescent="0.3">
      <c r="A3480" s="2">
        <v>3479</v>
      </c>
      <c r="B3480" s="1" t="s">
        <v>7388</v>
      </c>
      <c r="C3480" s="1" t="s">
        <v>7337</v>
      </c>
      <c r="D3480" s="1" t="s">
        <v>7338</v>
      </c>
      <c r="E3480" s="1" t="s">
        <v>7389</v>
      </c>
      <c r="F3480" s="1" t="str">
        <f>HYPERLINK("https://talan.bank.gov.ua/get-user-certificate/J5325XV48ErjGNEksjPC","Завантажити сертифікат")</f>
        <v>Завантажити сертифікат</v>
      </c>
    </row>
    <row r="3481" spans="1:6" ht="28.8" x14ac:dyDescent="0.3">
      <c r="A3481" s="2">
        <v>3480</v>
      </c>
      <c r="B3481" s="1" t="s">
        <v>7390</v>
      </c>
      <c r="C3481" s="1" t="s">
        <v>7337</v>
      </c>
      <c r="D3481" s="1" t="s">
        <v>7338</v>
      </c>
      <c r="E3481" s="1" t="s">
        <v>7391</v>
      </c>
      <c r="F3481" s="1" t="str">
        <f>HYPERLINK("https://talan.bank.gov.ua/get-user-certificate/J5325n7gUv-DlS-hBzTA","Завантажити сертифікат")</f>
        <v>Завантажити сертифікат</v>
      </c>
    </row>
    <row r="3482" spans="1:6" ht="28.8" x14ac:dyDescent="0.3">
      <c r="A3482" s="2">
        <v>3481</v>
      </c>
      <c r="B3482" s="1" t="s">
        <v>7392</v>
      </c>
      <c r="C3482" s="1" t="s">
        <v>7337</v>
      </c>
      <c r="D3482" s="1" t="s">
        <v>7338</v>
      </c>
      <c r="E3482" s="1" t="s">
        <v>7393</v>
      </c>
      <c r="F3482" s="1" t="str">
        <f>HYPERLINK("https://talan.bank.gov.ua/get-user-certificate/J5325-R7yubJ6BKr4LWn","Завантажити сертифікат")</f>
        <v>Завантажити сертифікат</v>
      </c>
    </row>
    <row r="3483" spans="1:6" ht="28.8" x14ac:dyDescent="0.3">
      <c r="A3483" s="2">
        <v>3482</v>
      </c>
      <c r="B3483" s="1" t="s">
        <v>7394</v>
      </c>
      <c r="C3483" s="1" t="s">
        <v>7337</v>
      </c>
      <c r="D3483" s="1" t="s">
        <v>7338</v>
      </c>
      <c r="E3483" s="1" t="s">
        <v>7395</v>
      </c>
      <c r="F3483" s="1" t="str">
        <f>HYPERLINK("https://talan.bank.gov.ua/get-user-certificate/J5325UUhIth3bQdQ3c99","Завантажити сертифікат")</f>
        <v>Завантажити сертифікат</v>
      </c>
    </row>
    <row r="3484" spans="1:6" ht="28.8" x14ac:dyDescent="0.3">
      <c r="A3484" s="2">
        <v>3483</v>
      </c>
      <c r="B3484" s="1" t="s">
        <v>7396</v>
      </c>
      <c r="C3484" s="1" t="s">
        <v>7337</v>
      </c>
      <c r="D3484" s="1" t="s">
        <v>7338</v>
      </c>
      <c r="E3484" s="1" t="s">
        <v>7397</v>
      </c>
      <c r="F3484" s="1" t="str">
        <f>HYPERLINK("https://talan.bank.gov.ua/get-user-certificate/J5325IqveEIWaatd3sTe","Завантажити сертифікат")</f>
        <v>Завантажити сертифікат</v>
      </c>
    </row>
    <row r="3485" spans="1:6" ht="28.8" x14ac:dyDescent="0.3">
      <c r="A3485" s="2">
        <v>3484</v>
      </c>
      <c r="B3485" s="1" t="s">
        <v>7398</v>
      </c>
      <c r="C3485" s="1" t="s">
        <v>7337</v>
      </c>
      <c r="D3485" s="1" t="s">
        <v>7338</v>
      </c>
      <c r="E3485" s="1" t="s">
        <v>7399</v>
      </c>
      <c r="F3485" s="1" t="str">
        <f>HYPERLINK("https://talan.bank.gov.ua/get-user-certificate/J5325r_Om3v-6xx7pYg5","Завантажити сертифікат")</f>
        <v>Завантажити сертифікат</v>
      </c>
    </row>
    <row r="3486" spans="1:6" ht="28.8" x14ac:dyDescent="0.3">
      <c r="A3486" s="2">
        <v>3485</v>
      </c>
      <c r="B3486" s="1" t="s">
        <v>7400</v>
      </c>
      <c r="C3486" s="1" t="s">
        <v>7337</v>
      </c>
      <c r="D3486" s="1" t="s">
        <v>7338</v>
      </c>
      <c r="E3486" s="1" t="s">
        <v>7401</v>
      </c>
      <c r="F3486" s="1" t="str">
        <f>HYPERLINK("https://talan.bank.gov.ua/get-user-certificate/J5325DKIPRVQUtuDjm2P","Завантажити сертифікат")</f>
        <v>Завантажити сертифікат</v>
      </c>
    </row>
    <row r="3487" spans="1:6" ht="28.8" x14ac:dyDescent="0.3">
      <c r="A3487" s="2">
        <v>3486</v>
      </c>
      <c r="B3487" s="1" t="s">
        <v>7402</v>
      </c>
      <c r="C3487" s="1" t="s">
        <v>7337</v>
      </c>
      <c r="D3487" s="1" t="s">
        <v>7338</v>
      </c>
      <c r="E3487" s="1" t="s">
        <v>7403</v>
      </c>
      <c r="F3487" s="1" t="str">
        <f>HYPERLINK("https://talan.bank.gov.ua/get-user-certificate/J5325tT02pLdROehfBqY","Завантажити сертифікат")</f>
        <v>Завантажити сертифікат</v>
      </c>
    </row>
    <row r="3488" spans="1:6" ht="28.8" x14ac:dyDescent="0.3">
      <c r="A3488" s="2">
        <v>3487</v>
      </c>
      <c r="B3488" s="1" t="s">
        <v>7404</v>
      </c>
      <c r="C3488" s="1" t="s">
        <v>7337</v>
      </c>
      <c r="D3488" s="1" t="s">
        <v>7338</v>
      </c>
      <c r="E3488" s="1" t="s">
        <v>7405</v>
      </c>
      <c r="F3488" s="1" t="str">
        <f>HYPERLINK("https://talan.bank.gov.ua/get-user-certificate/J53259Xrd7sYn-M2BQth","Завантажити сертифікат")</f>
        <v>Завантажити сертифікат</v>
      </c>
    </row>
    <row r="3489" spans="1:6" ht="28.8" x14ac:dyDescent="0.3">
      <c r="A3489" s="2">
        <v>3488</v>
      </c>
      <c r="B3489" s="1" t="s">
        <v>7406</v>
      </c>
      <c r="C3489" s="1" t="s">
        <v>7337</v>
      </c>
      <c r="D3489" s="1" t="s">
        <v>7338</v>
      </c>
      <c r="E3489" s="1" t="s">
        <v>7407</v>
      </c>
      <c r="F3489" s="1" t="str">
        <f>HYPERLINK("https://talan.bank.gov.ua/get-user-certificate/J5325On7Sng5ZFDRGRgT","Завантажити сертифікат")</f>
        <v>Завантажити сертифікат</v>
      </c>
    </row>
    <row r="3490" spans="1:6" ht="28.8" x14ac:dyDescent="0.3">
      <c r="A3490" s="2">
        <v>3489</v>
      </c>
      <c r="B3490" s="1" t="s">
        <v>7408</v>
      </c>
      <c r="C3490" s="1" t="s">
        <v>7337</v>
      </c>
      <c r="D3490" s="1" t="s">
        <v>7338</v>
      </c>
      <c r="E3490" s="1" t="s">
        <v>7409</v>
      </c>
      <c r="F3490" s="1" t="str">
        <f>HYPERLINK("https://talan.bank.gov.ua/get-user-certificate/J5325L_KdofCc-5Pmt7_","Завантажити сертифікат")</f>
        <v>Завантажити сертифікат</v>
      </c>
    </row>
    <row r="3491" spans="1:6" ht="28.8" x14ac:dyDescent="0.3">
      <c r="A3491" s="2">
        <v>3490</v>
      </c>
      <c r="B3491" s="1" t="s">
        <v>7410</v>
      </c>
      <c r="C3491" s="1" t="s">
        <v>7337</v>
      </c>
      <c r="D3491" s="1" t="s">
        <v>7338</v>
      </c>
      <c r="E3491" s="1" t="s">
        <v>7411</v>
      </c>
      <c r="F3491" s="1" t="str">
        <f>HYPERLINK("https://talan.bank.gov.ua/get-user-certificate/J5325c9R_0vp9SvOgL9Y","Завантажити сертифікат")</f>
        <v>Завантажити сертифікат</v>
      </c>
    </row>
    <row r="3492" spans="1:6" ht="28.8" x14ac:dyDescent="0.3">
      <c r="A3492" s="2">
        <v>3491</v>
      </c>
      <c r="B3492" s="1" t="s">
        <v>7412</v>
      </c>
      <c r="C3492" s="1" t="s">
        <v>7337</v>
      </c>
      <c r="D3492" s="1" t="s">
        <v>7338</v>
      </c>
      <c r="E3492" s="1" t="s">
        <v>7413</v>
      </c>
      <c r="F3492" s="1" t="str">
        <f>HYPERLINK("https://talan.bank.gov.ua/get-user-certificate/J5325z-nAQDcJS7HNE6U","Завантажити сертифікат")</f>
        <v>Завантажити сертифікат</v>
      </c>
    </row>
    <row r="3493" spans="1:6" ht="28.8" x14ac:dyDescent="0.3">
      <c r="A3493" s="2">
        <v>3492</v>
      </c>
      <c r="B3493" s="1" t="s">
        <v>7414</v>
      </c>
      <c r="C3493" s="1" t="s">
        <v>7337</v>
      </c>
      <c r="D3493" s="1" t="s">
        <v>7338</v>
      </c>
      <c r="E3493" s="1" t="s">
        <v>7415</v>
      </c>
      <c r="F3493" s="1" t="str">
        <f>HYPERLINK("https://talan.bank.gov.ua/get-user-certificate/J5325vG40HvYBjv2LGnh","Завантажити сертифікат")</f>
        <v>Завантажити сертифікат</v>
      </c>
    </row>
    <row r="3494" spans="1:6" ht="28.8" x14ac:dyDescent="0.3">
      <c r="A3494" s="2">
        <v>3493</v>
      </c>
      <c r="B3494" s="1" t="s">
        <v>7416</v>
      </c>
      <c r="C3494" s="1" t="s">
        <v>7337</v>
      </c>
      <c r="D3494" s="1" t="s">
        <v>7338</v>
      </c>
      <c r="E3494" s="1" t="s">
        <v>7417</v>
      </c>
      <c r="F3494" s="1" t="str">
        <f>HYPERLINK("https://talan.bank.gov.ua/get-user-certificate/J5325aVdkFeG0ZOGu57t","Завантажити сертифікат")</f>
        <v>Завантажити сертифікат</v>
      </c>
    </row>
    <row r="3495" spans="1:6" ht="28.8" x14ac:dyDescent="0.3">
      <c r="A3495" s="2">
        <v>3494</v>
      </c>
      <c r="B3495" s="1" t="s">
        <v>7418</v>
      </c>
      <c r="C3495" s="1" t="s">
        <v>7337</v>
      </c>
      <c r="D3495" s="1" t="s">
        <v>7338</v>
      </c>
      <c r="E3495" s="1" t="s">
        <v>7419</v>
      </c>
      <c r="F3495" s="1" t="str">
        <f>HYPERLINK("https://talan.bank.gov.ua/get-user-certificate/J5325OO-1lbjrMr_ZPPi","Завантажити сертифікат")</f>
        <v>Завантажити сертифікат</v>
      </c>
    </row>
    <row r="3496" spans="1:6" ht="28.8" x14ac:dyDescent="0.3">
      <c r="A3496" s="2">
        <v>3495</v>
      </c>
      <c r="B3496" s="1" t="s">
        <v>7420</v>
      </c>
      <c r="C3496" s="1" t="s">
        <v>7337</v>
      </c>
      <c r="D3496" s="1" t="s">
        <v>7338</v>
      </c>
      <c r="E3496" s="1" t="s">
        <v>7421</v>
      </c>
      <c r="F3496" s="1" t="str">
        <f>HYPERLINK("https://talan.bank.gov.ua/get-user-certificate/J5325qu0HvQy3tCFWLbu","Завантажити сертифікат")</f>
        <v>Завантажити сертифікат</v>
      </c>
    </row>
    <row r="3497" spans="1:6" ht="28.8" x14ac:dyDescent="0.3">
      <c r="A3497" s="2">
        <v>3496</v>
      </c>
      <c r="B3497" s="1" t="s">
        <v>7422</v>
      </c>
      <c r="C3497" s="1" t="s">
        <v>7337</v>
      </c>
      <c r="D3497" s="1" t="s">
        <v>7338</v>
      </c>
      <c r="E3497" s="1" t="s">
        <v>7423</v>
      </c>
      <c r="F3497" s="1" t="str">
        <f>HYPERLINK("https://talan.bank.gov.ua/get-user-certificate/J5325o0dV2C0428x6HzW","Завантажити сертифікат")</f>
        <v>Завантажити сертифікат</v>
      </c>
    </row>
    <row r="3498" spans="1:6" ht="28.8" x14ac:dyDescent="0.3">
      <c r="A3498" s="2">
        <v>3497</v>
      </c>
      <c r="B3498" s="1" t="s">
        <v>7424</v>
      </c>
      <c r="C3498" s="1" t="s">
        <v>7337</v>
      </c>
      <c r="D3498" s="1" t="s">
        <v>7338</v>
      </c>
      <c r="E3498" s="1" t="s">
        <v>7425</v>
      </c>
      <c r="F3498" s="1" t="str">
        <f>HYPERLINK("https://talan.bank.gov.ua/get-user-certificate/J5325jguGTnx8YpIc74m","Завантажити сертифікат")</f>
        <v>Завантажити сертифікат</v>
      </c>
    </row>
    <row r="3499" spans="1:6" ht="28.8" x14ac:dyDescent="0.3">
      <c r="A3499" s="2">
        <v>3498</v>
      </c>
      <c r="B3499" s="1" t="s">
        <v>7426</v>
      </c>
      <c r="C3499" s="1" t="s">
        <v>7337</v>
      </c>
      <c r="D3499" s="1" t="s">
        <v>7338</v>
      </c>
      <c r="E3499" s="1" t="s">
        <v>7427</v>
      </c>
      <c r="F3499" s="1" t="str">
        <f>HYPERLINK("https://talan.bank.gov.ua/get-user-certificate/J5325KMYS-SZynQlytoL","Завантажити сертифікат")</f>
        <v>Завантажити сертифікат</v>
      </c>
    </row>
    <row r="3500" spans="1:6" ht="28.8" x14ac:dyDescent="0.3">
      <c r="A3500" s="2">
        <v>3499</v>
      </c>
      <c r="B3500" s="1" t="s">
        <v>7428</v>
      </c>
      <c r="C3500" s="1" t="s">
        <v>7337</v>
      </c>
      <c r="D3500" s="1" t="s">
        <v>7338</v>
      </c>
      <c r="E3500" s="1" t="s">
        <v>7429</v>
      </c>
      <c r="F3500" s="1" t="str">
        <f>HYPERLINK("https://talan.bank.gov.ua/get-user-certificate/J5325psKAIMf7ve_7fyl","Завантажити сертифікат")</f>
        <v>Завантажити сертифікат</v>
      </c>
    </row>
    <row r="3501" spans="1:6" ht="28.8" x14ac:dyDescent="0.3">
      <c r="A3501" s="2">
        <v>3500</v>
      </c>
      <c r="B3501" s="1" t="s">
        <v>7430</v>
      </c>
      <c r="C3501" s="1" t="s">
        <v>7337</v>
      </c>
      <c r="D3501" s="1" t="s">
        <v>7338</v>
      </c>
      <c r="E3501" s="1" t="s">
        <v>7431</v>
      </c>
      <c r="F3501" s="1" t="str">
        <f>HYPERLINK("https://talan.bank.gov.ua/get-user-certificate/J5325P8cnfZpGJHwH48b","Завантажити сертифікат")</f>
        <v>Завантажити сертифікат</v>
      </c>
    </row>
    <row r="3502" spans="1:6" ht="28.8" x14ac:dyDescent="0.3">
      <c r="A3502" s="2">
        <v>3501</v>
      </c>
      <c r="B3502" s="1" t="s">
        <v>7432</v>
      </c>
      <c r="C3502" s="1" t="s">
        <v>7337</v>
      </c>
      <c r="D3502" s="1" t="s">
        <v>7338</v>
      </c>
      <c r="E3502" s="1" t="s">
        <v>7433</v>
      </c>
      <c r="F3502" s="1" t="str">
        <f>HYPERLINK("https://talan.bank.gov.ua/get-user-certificate/J5325AstNYXmS3zSxniP","Завантажити сертифікат")</f>
        <v>Завантажити сертифікат</v>
      </c>
    </row>
    <row r="3503" spans="1:6" ht="28.8" x14ac:dyDescent="0.3">
      <c r="A3503" s="2">
        <v>3502</v>
      </c>
      <c r="B3503" s="1" t="s">
        <v>7434</v>
      </c>
      <c r="C3503" s="1" t="s">
        <v>7337</v>
      </c>
      <c r="D3503" s="1" t="s">
        <v>7338</v>
      </c>
      <c r="E3503" s="1" t="s">
        <v>7435</v>
      </c>
      <c r="F3503" s="1" t="str">
        <f>HYPERLINK("https://talan.bank.gov.ua/get-user-certificate/J532527lRt2yK4Oz3-cX","Завантажити сертифікат")</f>
        <v>Завантажити сертифікат</v>
      </c>
    </row>
    <row r="3504" spans="1:6" ht="28.8" x14ac:dyDescent="0.3">
      <c r="A3504" s="2">
        <v>3503</v>
      </c>
      <c r="B3504" s="1" t="s">
        <v>7436</v>
      </c>
      <c r="C3504" s="1" t="s">
        <v>7337</v>
      </c>
      <c r="D3504" s="1" t="s">
        <v>7338</v>
      </c>
      <c r="E3504" s="1" t="s">
        <v>7437</v>
      </c>
      <c r="F3504" s="1" t="str">
        <f>HYPERLINK("https://talan.bank.gov.ua/get-user-certificate/J5325JoR40J-kLW-FlTP","Завантажити сертифікат")</f>
        <v>Завантажити сертифікат</v>
      </c>
    </row>
    <row r="3505" spans="1:6" ht="28.8" x14ac:dyDescent="0.3">
      <c r="A3505" s="2">
        <v>3504</v>
      </c>
      <c r="B3505" s="1" t="s">
        <v>7438</v>
      </c>
      <c r="C3505" s="1" t="s">
        <v>7337</v>
      </c>
      <c r="D3505" s="1" t="s">
        <v>7338</v>
      </c>
      <c r="E3505" s="1" t="s">
        <v>7439</v>
      </c>
      <c r="F3505" s="1" t="str">
        <f>HYPERLINK("https://talan.bank.gov.ua/get-user-certificate/J5325BI2Sw3hkADIJJ6P","Завантажити сертифікат")</f>
        <v>Завантажити сертифікат</v>
      </c>
    </row>
    <row r="3506" spans="1:6" ht="28.8" x14ac:dyDescent="0.3">
      <c r="A3506" s="2">
        <v>3505</v>
      </c>
      <c r="B3506" s="1" t="s">
        <v>7440</v>
      </c>
      <c r="C3506" s="1" t="s">
        <v>7337</v>
      </c>
      <c r="D3506" s="1" t="s">
        <v>7338</v>
      </c>
      <c r="E3506" s="1" t="s">
        <v>7441</v>
      </c>
      <c r="F3506" s="1" t="str">
        <f>HYPERLINK("https://talan.bank.gov.ua/get-user-certificate/J53259-ZoAo0SEvK-sdg","Завантажити сертифікат")</f>
        <v>Завантажити сертифікат</v>
      </c>
    </row>
    <row r="3507" spans="1:6" ht="28.8" x14ac:dyDescent="0.3">
      <c r="A3507" s="2">
        <v>3506</v>
      </c>
      <c r="B3507" s="1" t="s">
        <v>7442</v>
      </c>
      <c r="C3507" s="1" t="s">
        <v>7337</v>
      </c>
      <c r="D3507" s="1" t="s">
        <v>7338</v>
      </c>
      <c r="E3507" s="1" t="s">
        <v>7443</v>
      </c>
      <c r="F3507" s="1" t="str">
        <f>HYPERLINK("https://talan.bank.gov.ua/get-user-certificate/J53253WNhQPkLrj690sw","Завантажити сертифікат")</f>
        <v>Завантажити сертифікат</v>
      </c>
    </row>
    <row r="3508" spans="1:6" ht="28.8" x14ac:dyDescent="0.3">
      <c r="A3508" s="2">
        <v>3507</v>
      </c>
      <c r="B3508" s="1" t="s">
        <v>7444</v>
      </c>
      <c r="C3508" s="1" t="s">
        <v>7337</v>
      </c>
      <c r="D3508" s="1" t="s">
        <v>7338</v>
      </c>
      <c r="E3508" s="1" t="s">
        <v>7445</v>
      </c>
      <c r="F3508" s="1" t="str">
        <f>HYPERLINK("https://talan.bank.gov.ua/get-user-certificate/J5325VRd9hP2yrPH3ne1","Завантажити сертифікат")</f>
        <v>Завантажити сертифікат</v>
      </c>
    </row>
    <row r="3509" spans="1:6" ht="28.8" x14ac:dyDescent="0.3">
      <c r="A3509" s="2">
        <v>3508</v>
      </c>
      <c r="B3509" s="1" t="s">
        <v>7446</v>
      </c>
      <c r="C3509" s="1" t="s">
        <v>7337</v>
      </c>
      <c r="D3509" s="1" t="s">
        <v>7338</v>
      </c>
      <c r="E3509" s="1" t="s">
        <v>7447</v>
      </c>
      <c r="F3509" s="1" t="str">
        <f>HYPERLINK("https://talan.bank.gov.ua/get-user-certificate/J53256qGdxhrhVp8FONW","Завантажити сертифікат")</f>
        <v>Завантажити сертифікат</v>
      </c>
    </row>
    <row r="3510" spans="1:6" ht="28.8" x14ac:dyDescent="0.3">
      <c r="A3510" s="2">
        <v>3509</v>
      </c>
      <c r="B3510" s="1" t="s">
        <v>7448</v>
      </c>
      <c r="C3510" s="1" t="s">
        <v>7337</v>
      </c>
      <c r="D3510" s="1" t="s">
        <v>7338</v>
      </c>
      <c r="E3510" s="1" t="s">
        <v>7449</v>
      </c>
      <c r="F3510" s="1" t="str">
        <f>HYPERLINK("https://talan.bank.gov.ua/get-user-certificate/J5325UVeDd3Q0C8Ubiqi","Завантажити сертифікат")</f>
        <v>Завантажити сертифікат</v>
      </c>
    </row>
    <row r="3511" spans="1:6" ht="28.8" x14ac:dyDescent="0.3">
      <c r="A3511" s="2">
        <v>3510</v>
      </c>
      <c r="B3511" s="1" t="s">
        <v>7450</v>
      </c>
      <c r="C3511" s="1" t="s">
        <v>7451</v>
      </c>
      <c r="D3511" s="1" t="s">
        <v>7452</v>
      </c>
      <c r="E3511" s="1" t="s">
        <v>7453</v>
      </c>
      <c r="F3511" s="1" t="str">
        <f>HYPERLINK("https://talan.bank.gov.ua/get-user-certificate/J5325LbKX4hOCzyLRVfi","Завантажити сертифікат")</f>
        <v>Завантажити сертифікат</v>
      </c>
    </row>
    <row r="3512" spans="1:6" ht="28.8" x14ac:dyDescent="0.3">
      <c r="A3512" s="2">
        <v>3511</v>
      </c>
      <c r="B3512" s="1" t="s">
        <v>7454</v>
      </c>
      <c r="C3512" s="1" t="s">
        <v>7451</v>
      </c>
      <c r="D3512" s="1" t="s">
        <v>7452</v>
      </c>
      <c r="E3512" s="1" t="s">
        <v>7455</v>
      </c>
      <c r="F3512" s="1" t="str">
        <f>HYPERLINK("https://talan.bank.gov.ua/get-user-certificate/J5325AipSQRxjuCgGNla","Завантажити сертифікат")</f>
        <v>Завантажити сертифікат</v>
      </c>
    </row>
    <row r="3513" spans="1:6" ht="28.8" x14ac:dyDescent="0.3">
      <c r="A3513" s="2">
        <v>3512</v>
      </c>
      <c r="B3513" s="1" t="s">
        <v>7456</v>
      </c>
      <c r="C3513" s="1" t="s">
        <v>7451</v>
      </c>
      <c r="D3513" s="1" t="s">
        <v>7452</v>
      </c>
      <c r="E3513" s="1" t="s">
        <v>7457</v>
      </c>
      <c r="F3513" s="1" t="str">
        <f>HYPERLINK("https://talan.bank.gov.ua/get-user-certificate/J5325zrgQFb0DkgmCWRE","Завантажити сертифікат")</f>
        <v>Завантажити сертифікат</v>
      </c>
    </row>
    <row r="3514" spans="1:6" ht="28.8" x14ac:dyDescent="0.3">
      <c r="A3514" s="2">
        <v>3513</v>
      </c>
      <c r="B3514" s="1" t="s">
        <v>7458</v>
      </c>
      <c r="C3514" s="1" t="s">
        <v>7459</v>
      </c>
      <c r="D3514" s="1" t="s">
        <v>7460</v>
      </c>
      <c r="E3514" s="1" t="s">
        <v>7461</v>
      </c>
      <c r="F3514" s="1" t="str">
        <f>HYPERLINK("https://talan.bank.gov.ua/get-user-certificate/J5325RGmkyI4w2T6LySp","Завантажити сертифікат")</f>
        <v>Завантажити сертифікат</v>
      </c>
    </row>
    <row r="3515" spans="1:6" ht="28.8" x14ac:dyDescent="0.3">
      <c r="A3515" s="2">
        <v>3514</v>
      </c>
      <c r="B3515" s="1" t="s">
        <v>7462</v>
      </c>
      <c r="C3515" s="1" t="s">
        <v>7459</v>
      </c>
      <c r="D3515" s="1" t="s">
        <v>7460</v>
      </c>
      <c r="E3515" s="1" t="s">
        <v>7463</v>
      </c>
      <c r="F3515" s="1" t="str">
        <f>HYPERLINK("https://talan.bank.gov.ua/get-user-certificate/J5325TPdyFm5OQKXxyXi","Завантажити сертифікат")</f>
        <v>Завантажити сертифікат</v>
      </c>
    </row>
    <row r="3516" spans="1:6" ht="28.8" x14ac:dyDescent="0.3">
      <c r="A3516" s="2">
        <v>3515</v>
      </c>
      <c r="B3516" s="1" t="s">
        <v>7464</v>
      </c>
      <c r="C3516" s="1" t="s">
        <v>7459</v>
      </c>
      <c r="D3516" s="1" t="s">
        <v>7460</v>
      </c>
      <c r="E3516" s="1" t="s">
        <v>7465</v>
      </c>
      <c r="F3516" s="1" t="str">
        <f>HYPERLINK("https://talan.bank.gov.ua/get-user-certificate/J5325UDK-eqVimYkZjVQ","Завантажити сертифікат")</f>
        <v>Завантажити сертифікат</v>
      </c>
    </row>
    <row r="3517" spans="1:6" ht="28.8" x14ac:dyDescent="0.3">
      <c r="A3517" s="2">
        <v>3516</v>
      </c>
      <c r="B3517" s="1" t="s">
        <v>7466</v>
      </c>
      <c r="C3517" s="1" t="s">
        <v>7459</v>
      </c>
      <c r="D3517" s="1" t="s">
        <v>7460</v>
      </c>
      <c r="E3517" s="1" t="s">
        <v>7467</v>
      </c>
      <c r="F3517" s="1" t="str">
        <f>HYPERLINK("https://talan.bank.gov.ua/get-user-certificate/J5325FsxI2KyaGmYMElY","Завантажити сертифікат")</f>
        <v>Завантажити сертифікат</v>
      </c>
    </row>
    <row r="3518" spans="1:6" ht="28.8" x14ac:dyDescent="0.3">
      <c r="A3518" s="2">
        <v>3517</v>
      </c>
      <c r="B3518" s="1" t="s">
        <v>7468</v>
      </c>
      <c r="C3518" s="1" t="s">
        <v>7459</v>
      </c>
      <c r="D3518" s="1" t="s">
        <v>7460</v>
      </c>
      <c r="E3518" s="1" t="s">
        <v>7469</v>
      </c>
      <c r="F3518" s="1" t="str">
        <f>HYPERLINK("https://talan.bank.gov.ua/get-user-certificate/J532500gxvxbBo646GMj","Завантажити сертифікат")</f>
        <v>Завантажити сертифікат</v>
      </c>
    </row>
    <row r="3519" spans="1:6" ht="28.8" x14ac:dyDescent="0.3">
      <c r="A3519" s="2">
        <v>3518</v>
      </c>
      <c r="B3519" s="1" t="s">
        <v>7470</v>
      </c>
      <c r="C3519" s="1" t="s">
        <v>7459</v>
      </c>
      <c r="D3519" s="1" t="s">
        <v>7460</v>
      </c>
      <c r="E3519" s="1" t="s">
        <v>7471</v>
      </c>
      <c r="F3519" s="1" t="str">
        <f>HYPERLINK("https://talan.bank.gov.ua/get-user-certificate/J5325ER4A3ZS_LbCY1xX","Завантажити сертифікат")</f>
        <v>Завантажити сертифікат</v>
      </c>
    </row>
    <row r="3520" spans="1:6" ht="28.8" x14ac:dyDescent="0.3">
      <c r="A3520" s="2">
        <v>3519</v>
      </c>
      <c r="B3520" s="1" t="s">
        <v>7472</v>
      </c>
      <c r="C3520" s="1" t="s">
        <v>7473</v>
      </c>
      <c r="D3520" s="1" t="s">
        <v>7474</v>
      </c>
      <c r="E3520" s="1" t="s">
        <v>7475</v>
      </c>
      <c r="F3520" s="1" t="str">
        <f>HYPERLINK("https://talan.bank.gov.ua/get-user-certificate/J5325cONGJBSO2WaA5gP","Завантажити сертифікат")</f>
        <v>Завантажити сертифікат</v>
      </c>
    </row>
    <row r="3521" spans="1:6" ht="28.8" x14ac:dyDescent="0.3">
      <c r="A3521" s="2">
        <v>3520</v>
      </c>
      <c r="B3521" s="1" t="s">
        <v>7476</v>
      </c>
      <c r="C3521" s="1" t="s">
        <v>7473</v>
      </c>
      <c r="D3521" s="1" t="s">
        <v>7474</v>
      </c>
      <c r="E3521" s="1" t="s">
        <v>7477</v>
      </c>
      <c r="F3521" s="1" t="str">
        <f>HYPERLINK("https://talan.bank.gov.ua/get-user-certificate/J5325yB0sZqoiRepU7HC","Завантажити сертифікат")</f>
        <v>Завантажити сертифікат</v>
      </c>
    </row>
    <row r="3522" spans="1:6" ht="28.8" x14ac:dyDescent="0.3">
      <c r="A3522" s="2">
        <v>3521</v>
      </c>
      <c r="B3522" s="1" t="s">
        <v>7478</v>
      </c>
      <c r="C3522" s="1" t="s">
        <v>7473</v>
      </c>
      <c r="D3522" s="1" t="s">
        <v>7474</v>
      </c>
      <c r="E3522" s="1" t="s">
        <v>7479</v>
      </c>
      <c r="F3522" s="1" t="str">
        <f>HYPERLINK("https://talan.bank.gov.ua/get-user-certificate/J5325z_5niwM6ChDG0sx","Завантажити сертифікат")</f>
        <v>Завантажити сертифікат</v>
      </c>
    </row>
    <row r="3523" spans="1:6" ht="28.8" x14ac:dyDescent="0.3">
      <c r="A3523" s="2">
        <v>3522</v>
      </c>
      <c r="B3523" s="1" t="s">
        <v>7480</v>
      </c>
      <c r="C3523" s="1" t="s">
        <v>7473</v>
      </c>
      <c r="D3523" s="1" t="s">
        <v>7474</v>
      </c>
      <c r="E3523" s="1" t="s">
        <v>7481</v>
      </c>
      <c r="F3523" s="1" t="str">
        <f>HYPERLINK("https://talan.bank.gov.ua/get-user-certificate/J5325RNcOnPMSwMhVS7j","Завантажити сертифікат")</f>
        <v>Завантажити сертифікат</v>
      </c>
    </row>
    <row r="3524" spans="1:6" ht="28.8" x14ac:dyDescent="0.3">
      <c r="A3524" s="2">
        <v>3523</v>
      </c>
      <c r="B3524" s="1" t="s">
        <v>7482</v>
      </c>
      <c r="C3524" s="1" t="s">
        <v>7473</v>
      </c>
      <c r="D3524" s="1" t="s">
        <v>7474</v>
      </c>
      <c r="E3524" s="1" t="s">
        <v>7483</v>
      </c>
      <c r="F3524" s="1" t="str">
        <f>HYPERLINK("https://talan.bank.gov.ua/get-user-certificate/J5325QKzn6c9t1eUJTWT","Завантажити сертифікат")</f>
        <v>Завантажити сертифікат</v>
      </c>
    </row>
    <row r="3525" spans="1:6" ht="28.8" x14ac:dyDescent="0.3">
      <c r="A3525" s="2">
        <v>3524</v>
      </c>
      <c r="B3525" s="1" t="s">
        <v>7484</v>
      </c>
      <c r="C3525" s="1" t="s">
        <v>7473</v>
      </c>
      <c r="D3525" s="1" t="s">
        <v>7474</v>
      </c>
      <c r="E3525" s="1" t="s">
        <v>7485</v>
      </c>
      <c r="F3525" s="1" t="str">
        <f>HYPERLINK("https://talan.bank.gov.ua/get-user-certificate/J5325NGOrBpsKnSMJSSP","Завантажити сертифікат")</f>
        <v>Завантажити сертифікат</v>
      </c>
    </row>
    <row r="3526" spans="1:6" ht="28.8" x14ac:dyDescent="0.3">
      <c r="A3526" s="2">
        <v>3525</v>
      </c>
      <c r="B3526" s="1" t="s">
        <v>7486</v>
      </c>
      <c r="C3526" s="1" t="s">
        <v>7473</v>
      </c>
      <c r="D3526" s="1" t="s">
        <v>7474</v>
      </c>
      <c r="E3526" s="1" t="s">
        <v>7487</v>
      </c>
      <c r="F3526" s="1" t="str">
        <f>HYPERLINK("https://talan.bank.gov.ua/get-user-certificate/J5325xPG1OH8INJdwJ-H","Завантажити сертифікат")</f>
        <v>Завантажити сертифікат</v>
      </c>
    </row>
    <row r="3527" spans="1:6" ht="28.8" x14ac:dyDescent="0.3">
      <c r="A3527" s="2">
        <v>3526</v>
      </c>
      <c r="B3527" s="1" t="s">
        <v>7488</v>
      </c>
      <c r="C3527" s="1" t="s">
        <v>7473</v>
      </c>
      <c r="D3527" s="1" t="s">
        <v>7474</v>
      </c>
      <c r="E3527" s="1" t="s">
        <v>7489</v>
      </c>
      <c r="F3527" s="1" t="str">
        <f>HYPERLINK("https://talan.bank.gov.ua/get-user-certificate/J5325wfMN7QWAi8xj-Hr","Завантажити сертифікат")</f>
        <v>Завантажити сертифікат</v>
      </c>
    </row>
    <row r="3528" spans="1:6" ht="28.8" x14ac:dyDescent="0.3">
      <c r="A3528" s="2">
        <v>3527</v>
      </c>
      <c r="B3528" s="1" t="s">
        <v>7490</v>
      </c>
      <c r="C3528" s="1" t="s">
        <v>7473</v>
      </c>
      <c r="D3528" s="1" t="s">
        <v>7474</v>
      </c>
      <c r="E3528" s="1" t="s">
        <v>7491</v>
      </c>
      <c r="F3528" s="1" t="str">
        <f>HYPERLINK("https://talan.bank.gov.ua/get-user-certificate/J5325BLXTR6BwA3DGNPe","Завантажити сертифікат")</f>
        <v>Завантажити сертифікат</v>
      </c>
    </row>
    <row r="3529" spans="1:6" ht="28.8" x14ac:dyDescent="0.3">
      <c r="A3529" s="2">
        <v>3528</v>
      </c>
      <c r="B3529" s="1" t="s">
        <v>7492</v>
      </c>
      <c r="C3529" s="1" t="s">
        <v>7473</v>
      </c>
      <c r="D3529" s="1" t="s">
        <v>7474</v>
      </c>
      <c r="E3529" s="1" t="s">
        <v>7493</v>
      </c>
      <c r="F3529" s="1" t="str">
        <f>HYPERLINK("https://talan.bank.gov.ua/get-user-certificate/J5325Q6ctgeb0DglNwWL","Завантажити сертифікат")</f>
        <v>Завантажити сертифікат</v>
      </c>
    </row>
    <row r="3530" spans="1:6" ht="28.8" x14ac:dyDescent="0.3">
      <c r="A3530" s="2">
        <v>3529</v>
      </c>
      <c r="B3530" s="1" t="s">
        <v>7494</v>
      </c>
      <c r="C3530" s="1" t="s">
        <v>7473</v>
      </c>
      <c r="D3530" s="1" t="s">
        <v>7474</v>
      </c>
      <c r="E3530" s="1" t="s">
        <v>7495</v>
      </c>
      <c r="F3530" s="1" t="str">
        <f>HYPERLINK("https://talan.bank.gov.ua/get-user-certificate/J5325jqQkTIM4dff5HHs","Завантажити сертифікат")</f>
        <v>Завантажити сертифікат</v>
      </c>
    </row>
    <row r="3531" spans="1:6" ht="28.8" x14ac:dyDescent="0.3">
      <c r="A3531" s="2">
        <v>3530</v>
      </c>
      <c r="B3531" s="1" t="s">
        <v>7496</v>
      </c>
      <c r="C3531" s="1" t="s">
        <v>7473</v>
      </c>
      <c r="D3531" s="1" t="s">
        <v>7474</v>
      </c>
      <c r="E3531" s="1" t="s">
        <v>7497</v>
      </c>
      <c r="F3531" s="1" t="str">
        <f>HYPERLINK("https://talan.bank.gov.ua/get-user-certificate/J5325IfXkZA0ZcWClcPm","Завантажити сертифікат")</f>
        <v>Завантажити сертифікат</v>
      </c>
    </row>
    <row r="3532" spans="1:6" ht="28.8" x14ac:dyDescent="0.3">
      <c r="A3532" s="2">
        <v>3531</v>
      </c>
      <c r="B3532" s="1" t="s">
        <v>7498</v>
      </c>
      <c r="C3532" s="1" t="s">
        <v>7473</v>
      </c>
      <c r="D3532" s="1" t="s">
        <v>7474</v>
      </c>
      <c r="E3532" s="1" t="s">
        <v>7499</v>
      </c>
      <c r="F3532" s="1" t="str">
        <f>HYPERLINK("https://talan.bank.gov.ua/get-user-certificate/J5325hs_iUXINAcCXmJc","Завантажити сертифікат")</f>
        <v>Завантажити сертифікат</v>
      </c>
    </row>
    <row r="3533" spans="1:6" ht="28.8" x14ac:dyDescent="0.3">
      <c r="A3533" s="2">
        <v>3532</v>
      </c>
      <c r="B3533" s="1" t="s">
        <v>7500</v>
      </c>
      <c r="C3533" s="1" t="s">
        <v>7473</v>
      </c>
      <c r="D3533" s="1" t="s">
        <v>7474</v>
      </c>
      <c r="E3533" s="1" t="s">
        <v>7501</v>
      </c>
      <c r="F3533" s="1" t="str">
        <f>HYPERLINK("https://talan.bank.gov.ua/get-user-certificate/J53258WUyZSAmvIWFRAj","Завантажити сертифікат")</f>
        <v>Завантажити сертифікат</v>
      </c>
    </row>
    <row r="3534" spans="1:6" ht="28.8" x14ac:dyDescent="0.3">
      <c r="A3534" s="2">
        <v>3533</v>
      </c>
      <c r="B3534" s="1" t="s">
        <v>7502</v>
      </c>
      <c r="C3534" s="1" t="s">
        <v>7473</v>
      </c>
      <c r="D3534" s="1" t="s">
        <v>7474</v>
      </c>
      <c r="E3534" s="1" t="s">
        <v>7503</v>
      </c>
      <c r="F3534" s="1" t="str">
        <f>HYPERLINK("https://talan.bank.gov.ua/get-user-certificate/J5325-TkzPVDIoup9WES","Завантажити сертифікат")</f>
        <v>Завантажити сертифікат</v>
      </c>
    </row>
    <row r="3535" spans="1:6" ht="28.8" x14ac:dyDescent="0.3">
      <c r="A3535" s="2">
        <v>3534</v>
      </c>
      <c r="B3535" s="1" t="s">
        <v>7504</v>
      </c>
      <c r="C3535" s="1" t="s">
        <v>7473</v>
      </c>
      <c r="D3535" s="1" t="s">
        <v>7474</v>
      </c>
      <c r="E3535" s="1" t="s">
        <v>7505</v>
      </c>
      <c r="F3535" s="1" t="str">
        <f>HYPERLINK("https://talan.bank.gov.ua/get-user-certificate/J5325w1b8BKiXoghXEiM","Завантажити сертифікат")</f>
        <v>Завантажити сертифікат</v>
      </c>
    </row>
    <row r="3536" spans="1:6" ht="28.8" x14ac:dyDescent="0.3">
      <c r="A3536" s="2">
        <v>3535</v>
      </c>
      <c r="B3536" s="1" t="s">
        <v>7506</v>
      </c>
      <c r="C3536" s="1" t="s">
        <v>7473</v>
      </c>
      <c r="D3536" s="1" t="s">
        <v>7474</v>
      </c>
      <c r="E3536" s="1" t="s">
        <v>7507</v>
      </c>
      <c r="F3536" s="1" t="str">
        <f>HYPERLINK("https://talan.bank.gov.ua/get-user-certificate/J5325yKBe7gSHOtaB6DV","Завантажити сертифікат")</f>
        <v>Завантажити сертифікат</v>
      </c>
    </row>
    <row r="3537" spans="1:6" ht="28.8" x14ac:dyDescent="0.3">
      <c r="A3537" s="2">
        <v>3536</v>
      </c>
      <c r="B3537" s="1" t="s">
        <v>7508</v>
      </c>
      <c r="C3537" s="1" t="s">
        <v>7473</v>
      </c>
      <c r="D3537" s="1" t="s">
        <v>7474</v>
      </c>
      <c r="E3537" s="1" t="s">
        <v>7509</v>
      </c>
      <c r="F3537" s="1" t="str">
        <f>HYPERLINK("https://talan.bank.gov.ua/get-user-certificate/J5325fUZTPmZLUNS5ftA","Завантажити сертифікат")</f>
        <v>Завантажити сертифікат</v>
      </c>
    </row>
    <row r="3538" spans="1:6" ht="28.8" x14ac:dyDescent="0.3">
      <c r="A3538" s="2">
        <v>3537</v>
      </c>
      <c r="B3538" s="1" t="s">
        <v>7510</v>
      </c>
      <c r="C3538" s="1" t="s">
        <v>7473</v>
      </c>
      <c r="D3538" s="1" t="s">
        <v>7474</v>
      </c>
      <c r="E3538" s="1" t="s">
        <v>7511</v>
      </c>
      <c r="F3538" s="1" t="str">
        <f>HYPERLINK("https://talan.bank.gov.ua/get-user-certificate/J5325UjW94I1gFmJSTnp","Завантажити сертифікат")</f>
        <v>Завантажити сертифікат</v>
      </c>
    </row>
    <row r="3539" spans="1:6" ht="28.8" x14ac:dyDescent="0.3">
      <c r="A3539" s="2">
        <v>3538</v>
      </c>
      <c r="B3539" s="1" t="s">
        <v>7512</v>
      </c>
      <c r="C3539" s="1" t="s">
        <v>7473</v>
      </c>
      <c r="D3539" s="1" t="s">
        <v>7474</v>
      </c>
      <c r="E3539" s="1" t="s">
        <v>7513</v>
      </c>
      <c r="F3539" s="1" t="str">
        <f>HYPERLINK("https://talan.bank.gov.ua/get-user-certificate/J5325NRkzh-Rzu1niGl5","Завантажити сертифікат")</f>
        <v>Завантажити сертифікат</v>
      </c>
    </row>
    <row r="3540" spans="1:6" ht="28.8" x14ac:dyDescent="0.3">
      <c r="A3540" s="2">
        <v>3539</v>
      </c>
      <c r="B3540" s="1" t="s">
        <v>7514</v>
      </c>
      <c r="C3540" s="1" t="s">
        <v>7473</v>
      </c>
      <c r="D3540" s="1" t="s">
        <v>7474</v>
      </c>
      <c r="E3540" s="1" t="s">
        <v>7515</v>
      </c>
      <c r="F3540" s="1" t="str">
        <f>HYPERLINK("https://talan.bank.gov.ua/get-user-certificate/J5325tU0OBC0APvn-1QH","Завантажити сертифікат")</f>
        <v>Завантажити сертифікат</v>
      </c>
    </row>
    <row r="3541" spans="1:6" ht="28.8" x14ac:dyDescent="0.3">
      <c r="A3541" s="2">
        <v>3540</v>
      </c>
      <c r="B3541" s="1" t="s">
        <v>7516</v>
      </c>
      <c r="C3541" s="1" t="s">
        <v>7473</v>
      </c>
      <c r="D3541" s="1" t="s">
        <v>7474</v>
      </c>
      <c r="E3541" s="1" t="s">
        <v>7517</v>
      </c>
      <c r="F3541" s="1" t="str">
        <f>HYPERLINK("https://talan.bank.gov.ua/get-user-certificate/J5325IBFUX_3aX1eLP-V","Завантажити сертифікат")</f>
        <v>Завантажити сертифікат</v>
      </c>
    </row>
    <row r="3542" spans="1:6" ht="43.2" x14ac:dyDescent="0.3">
      <c r="A3542" s="2">
        <v>3541</v>
      </c>
      <c r="B3542" s="1" t="s">
        <v>7518</v>
      </c>
      <c r="C3542" s="1" t="s">
        <v>7519</v>
      </c>
      <c r="D3542" s="1" t="s">
        <v>7520</v>
      </c>
      <c r="E3542" s="1" t="s">
        <v>7521</v>
      </c>
      <c r="F3542" s="1" t="str">
        <f>HYPERLINK("https://talan.bank.gov.ua/get-user-certificate/J5325HOVQNr7s76FZXkK","Завантажити сертифікат")</f>
        <v>Завантажити сертифікат</v>
      </c>
    </row>
    <row r="3543" spans="1:6" ht="43.2" x14ac:dyDescent="0.3">
      <c r="A3543" s="2">
        <v>3542</v>
      </c>
      <c r="B3543" s="1" t="s">
        <v>7522</v>
      </c>
      <c r="C3543" s="1" t="s">
        <v>7519</v>
      </c>
      <c r="D3543" s="1" t="s">
        <v>7520</v>
      </c>
      <c r="E3543" s="1" t="s">
        <v>7523</v>
      </c>
      <c r="F3543" s="1" t="str">
        <f>HYPERLINK("https://talan.bank.gov.ua/get-user-certificate/J5325Vg_9UOQ3A4ipr2B","Завантажити сертифікат")</f>
        <v>Завантажити сертифікат</v>
      </c>
    </row>
    <row r="3544" spans="1:6" ht="43.2" x14ac:dyDescent="0.3">
      <c r="A3544" s="2">
        <v>3543</v>
      </c>
      <c r="B3544" s="1" t="s">
        <v>7524</v>
      </c>
      <c r="C3544" s="1" t="s">
        <v>7519</v>
      </c>
      <c r="D3544" s="1" t="s">
        <v>7520</v>
      </c>
      <c r="E3544" s="1" t="s">
        <v>7525</v>
      </c>
      <c r="F3544" s="1" t="str">
        <f>HYPERLINK("https://talan.bank.gov.ua/get-user-certificate/J5325Z8HnAaNPKWlaOPe","Завантажити сертифікат")</f>
        <v>Завантажити сертифікат</v>
      </c>
    </row>
    <row r="3545" spans="1:6" ht="43.2" x14ac:dyDescent="0.3">
      <c r="A3545" s="2">
        <v>3544</v>
      </c>
      <c r="B3545" s="1" t="s">
        <v>7526</v>
      </c>
      <c r="C3545" s="1" t="s">
        <v>7519</v>
      </c>
      <c r="D3545" s="1" t="s">
        <v>7520</v>
      </c>
      <c r="E3545" s="1" t="s">
        <v>7527</v>
      </c>
      <c r="F3545" s="1" t="str">
        <f>HYPERLINK("https://talan.bank.gov.ua/get-user-certificate/J5325kWtQ1wkQhE43m_2","Завантажити сертифікат")</f>
        <v>Завантажити сертифікат</v>
      </c>
    </row>
    <row r="3546" spans="1:6" ht="43.2" x14ac:dyDescent="0.3">
      <c r="A3546" s="2">
        <v>3545</v>
      </c>
      <c r="B3546" s="1" t="s">
        <v>7528</v>
      </c>
      <c r="C3546" s="1" t="s">
        <v>7519</v>
      </c>
      <c r="D3546" s="1" t="s">
        <v>7520</v>
      </c>
      <c r="E3546" s="1" t="s">
        <v>7529</v>
      </c>
      <c r="F3546" s="1" t="str">
        <f>HYPERLINK("https://talan.bank.gov.ua/get-user-certificate/J5325sqtbq1pv3jBQ3D0","Завантажити сертифікат")</f>
        <v>Завантажити сертифікат</v>
      </c>
    </row>
    <row r="3547" spans="1:6" ht="43.2" x14ac:dyDescent="0.3">
      <c r="A3547" s="2">
        <v>3546</v>
      </c>
      <c r="B3547" s="1" t="s">
        <v>7530</v>
      </c>
      <c r="C3547" s="1" t="s">
        <v>7519</v>
      </c>
      <c r="D3547" s="1" t="s">
        <v>7520</v>
      </c>
      <c r="E3547" s="1" t="s">
        <v>7531</v>
      </c>
      <c r="F3547" s="1" t="str">
        <f>HYPERLINK("https://talan.bank.gov.ua/get-user-certificate/J53256aoqwkN1d8nJEHL","Завантажити сертифікат")</f>
        <v>Завантажити сертифікат</v>
      </c>
    </row>
    <row r="3548" spans="1:6" ht="43.2" x14ac:dyDescent="0.3">
      <c r="A3548" s="2">
        <v>3547</v>
      </c>
      <c r="B3548" s="1" t="s">
        <v>7532</v>
      </c>
      <c r="C3548" s="1" t="s">
        <v>7519</v>
      </c>
      <c r="D3548" s="1" t="s">
        <v>7520</v>
      </c>
      <c r="E3548" s="1" t="s">
        <v>7533</v>
      </c>
      <c r="F3548" s="1" t="str">
        <f>HYPERLINK("https://talan.bank.gov.ua/get-user-certificate/J5325cch0eGIpyTDEaAr","Завантажити сертифікат")</f>
        <v>Завантажити сертифікат</v>
      </c>
    </row>
    <row r="3549" spans="1:6" ht="43.2" x14ac:dyDescent="0.3">
      <c r="A3549" s="2">
        <v>3548</v>
      </c>
      <c r="B3549" s="1" t="s">
        <v>7534</v>
      </c>
      <c r="C3549" s="1" t="s">
        <v>7519</v>
      </c>
      <c r="D3549" s="1" t="s">
        <v>7520</v>
      </c>
      <c r="E3549" s="1" t="s">
        <v>7535</v>
      </c>
      <c r="F3549" s="1" t="str">
        <f>HYPERLINK("https://talan.bank.gov.ua/get-user-certificate/J5325usTepfD8Xg48I7s","Завантажити сертифікат")</f>
        <v>Завантажити сертифікат</v>
      </c>
    </row>
    <row r="3550" spans="1:6" ht="43.2" x14ac:dyDescent="0.3">
      <c r="A3550" s="2">
        <v>3549</v>
      </c>
      <c r="B3550" s="1" t="s">
        <v>7536</v>
      </c>
      <c r="C3550" s="1" t="s">
        <v>7519</v>
      </c>
      <c r="D3550" s="1" t="s">
        <v>7520</v>
      </c>
      <c r="E3550" s="1" t="s">
        <v>7537</v>
      </c>
      <c r="F3550" s="1" t="str">
        <f>HYPERLINK("https://talan.bank.gov.ua/get-user-certificate/J5325sP4Pw0KewfhzGa4","Завантажити сертифікат")</f>
        <v>Завантажити сертифікат</v>
      </c>
    </row>
    <row r="3551" spans="1:6" ht="43.2" x14ac:dyDescent="0.3">
      <c r="A3551" s="2">
        <v>3550</v>
      </c>
      <c r="B3551" s="1" t="s">
        <v>7538</v>
      </c>
      <c r="C3551" s="1" t="s">
        <v>7519</v>
      </c>
      <c r="D3551" s="1" t="s">
        <v>7520</v>
      </c>
      <c r="E3551" s="1" t="s">
        <v>7539</v>
      </c>
      <c r="F3551" s="1" t="str">
        <f>HYPERLINK("https://talan.bank.gov.ua/get-user-certificate/J5325AbQ6mkXEhnrkbgn","Завантажити сертифікат")</f>
        <v>Завантажити сертифікат</v>
      </c>
    </row>
    <row r="3552" spans="1:6" ht="43.2" x14ac:dyDescent="0.3">
      <c r="A3552" s="2">
        <v>3551</v>
      </c>
      <c r="B3552" s="1" t="s">
        <v>7540</v>
      </c>
      <c r="C3552" s="1" t="s">
        <v>7519</v>
      </c>
      <c r="D3552" s="1" t="s">
        <v>7520</v>
      </c>
      <c r="E3552" s="1" t="s">
        <v>7541</v>
      </c>
      <c r="F3552" s="1" t="str">
        <f>HYPERLINK("https://talan.bank.gov.ua/get-user-certificate/J5325vkNEgUyBX7RWk34","Завантажити сертифікат")</f>
        <v>Завантажити сертифікат</v>
      </c>
    </row>
    <row r="3553" spans="1:6" ht="28.8" x14ac:dyDescent="0.3">
      <c r="A3553" s="2">
        <v>3552</v>
      </c>
      <c r="B3553" s="1" t="s">
        <v>7542</v>
      </c>
      <c r="C3553" s="1" t="s">
        <v>7543</v>
      </c>
      <c r="D3553" s="1" t="s">
        <v>7544</v>
      </c>
      <c r="E3553" s="1" t="s">
        <v>7545</v>
      </c>
      <c r="F3553" s="1" t="str">
        <f>HYPERLINK("https://talan.bank.gov.ua/get-user-certificate/J5325NS4D7iei2WHJW8_","Завантажити сертифікат")</f>
        <v>Завантажити сертифікат</v>
      </c>
    </row>
    <row r="3554" spans="1:6" ht="28.8" x14ac:dyDescent="0.3">
      <c r="A3554" s="2">
        <v>3553</v>
      </c>
      <c r="B3554" s="1" t="s">
        <v>7546</v>
      </c>
      <c r="C3554" s="1" t="s">
        <v>7543</v>
      </c>
      <c r="D3554" s="1" t="s">
        <v>7544</v>
      </c>
      <c r="E3554" s="1" t="s">
        <v>7547</v>
      </c>
      <c r="F3554" s="1" t="str">
        <f>HYPERLINK("https://talan.bank.gov.ua/get-user-certificate/J5325MxRoK6WxU58mnO_","Завантажити сертифікат")</f>
        <v>Завантажити сертифікат</v>
      </c>
    </row>
    <row r="3555" spans="1:6" ht="28.8" x14ac:dyDescent="0.3">
      <c r="A3555" s="2">
        <v>3554</v>
      </c>
      <c r="B3555" s="1" t="s">
        <v>7548</v>
      </c>
      <c r="C3555" s="1" t="s">
        <v>7543</v>
      </c>
      <c r="D3555" s="1" t="s">
        <v>7544</v>
      </c>
      <c r="E3555" s="1" t="s">
        <v>7549</v>
      </c>
      <c r="F3555" s="1" t="str">
        <f>HYPERLINK("https://talan.bank.gov.ua/get-user-certificate/J5325jAdDkysovNnLPrG","Завантажити сертифікат")</f>
        <v>Завантажити сертифікат</v>
      </c>
    </row>
    <row r="3556" spans="1:6" ht="28.8" x14ac:dyDescent="0.3">
      <c r="A3556" s="2">
        <v>3555</v>
      </c>
      <c r="B3556" s="1" t="s">
        <v>7550</v>
      </c>
      <c r="C3556" s="1" t="s">
        <v>7543</v>
      </c>
      <c r="D3556" s="1" t="s">
        <v>7544</v>
      </c>
      <c r="E3556" s="1" t="s">
        <v>7551</v>
      </c>
      <c r="F3556" s="1" t="str">
        <f>HYPERLINK("https://talan.bank.gov.ua/get-user-certificate/J5325mJD86_7R29DdsDO","Завантажити сертифікат")</f>
        <v>Завантажити сертифікат</v>
      </c>
    </row>
    <row r="3557" spans="1:6" ht="28.8" x14ac:dyDescent="0.3">
      <c r="A3557" s="2">
        <v>3556</v>
      </c>
      <c r="B3557" s="1" t="s">
        <v>7552</v>
      </c>
      <c r="C3557" s="1" t="s">
        <v>7543</v>
      </c>
      <c r="D3557" s="1" t="s">
        <v>7544</v>
      </c>
      <c r="E3557" s="1" t="s">
        <v>7553</v>
      </c>
      <c r="F3557" s="1" t="str">
        <f>HYPERLINK("https://talan.bank.gov.ua/get-user-certificate/J5325CeixTMN97WkdDVV","Завантажити сертифікат")</f>
        <v>Завантажити сертифікат</v>
      </c>
    </row>
    <row r="3558" spans="1:6" ht="28.8" x14ac:dyDescent="0.3">
      <c r="A3558" s="2">
        <v>3557</v>
      </c>
      <c r="B3558" s="1" t="s">
        <v>7554</v>
      </c>
      <c r="C3558" s="1" t="s">
        <v>7543</v>
      </c>
      <c r="D3558" s="1" t="s">
        <v>7544</v>
      </c>
      <c r="E3558" s="1" t="s">
        <v>7555</v>
      </c>
      <c r="F3558" s="1" t="str">
        <f>HYPERLINK("https://talan.bank.gov.ua/get-user-certificate/J5325tHL9y0hF1xTrTuT","Завантажити сертифікат")</f>
        <v>Завантажити сертифікат</v>
      </c>
    </row>
    <row r="3559" spans="1:6" ht="28.8" x14ac:dyDescent="0.3">
      <c r="A3559" s="2">
        <v>3558</v>
      </c>
      <c r="B3559" s="1" t="s">
        <v>7556</v>
      </c>
      <c r="C3559" s="1" t="s">
        <v>7557</v>
      </c>
      <c r="D3559" s="1" t="s">
        <v>7558</v>
      </c>
      <c r="E3559" s="1" t="s">
        <v>7559</v>
      </c>
      <c r="F3559" s="1" t="str">
        <f>HYPERLINK("https://talan.bank.gov.ua/get-user-certificate/J5325kq9ukJrZbnNOJ4b","Завантажити сертифікат")</f>
        <v>Завантажити сертифікат</v>
      </c>
    </row>
    <row r="3560" spans="1:6" ht="28.8" x14ac:dyDescent="0.3">
      <c r="A3560" s="2">
        <v>3559</v>
      </c>
      <c r="B3560" s="1" t="s">
        <v>7560</v>
      </c>
      <c r="C3560" s="1" t="s">
        <v>7557</v>
      </c>
      <c r="D3560" s="1" t="s">
        <v>7558</v>
      </c>
      <c r="E3560" s="1" t="s">
        <v>7561</v>
      </c>
      <c r="F3560" s="1" t="str">
        <f>HYPERLINK("https://talan.bank.gov.ua/get-user-certificate/J5325HeLHG073jz4MUKw","Завантажити сертифікат")</f>
        <v>Завантажити сертифікат</v>
      </c>
    </row>
    <row r="3561" spans="1:6" ht="28.8" x14ac:dyDescent="0.3">
      <c r="A3561" s="2">
        <v>3560</v>
      </c>
      <c r="B3561" s="1" t="s">
        <v>7562</v>
      </c>
      <c r="C3561" s="1" t="s">
        <v>7557</v>
      </c>
      <c r="D3561" s="1" t="s">
        <v>7558</v>
      </c>
      <c r="E3561" s="1" t="s">
        <v>7563</v>
      </c>
      <c r="F3561" s="1" t="str">
        <f>HYPERLINK("https://talan.bank.gov.ua/get-user-certificate/J5325tr2fa6Bb-mo3Oem","Завантажити сертифікат")</f>
        <v>Завантажити сертифікат</v>
      </c>
    </row>
    <row r="3562" spans="1:6" ht="28.8" x14ac:dyDescent="0.3">
      <c r="A3562" s="2">
        <v>3561</v>
      </c>
      <c r="B3562" s="1" t="s">
        <v>7564</v>
      </c>
      <c r="C3562" s="1" t="s">
        <v>7557</v>
      </c>
      <c r="D3562" s="1" t="s">
        <v>7558</v>
      </c>
      <c r="E3562" s="1" t="s">
        <v>7565</v>
      </c>
      <c r="F3562" s="1" t="str">
        <f>HYPERLINK("https://talan.bank.gov.ua/get-user-certificate/J5325aVlcfm-mRnc71JZ","Завантажити сертифікат")</f>
        <v>Завантажити сертифікат</v>
      </c>
    </row>
    <row r="3563" spans="1:6" ht="28.8" x14ac:dyDescent="0.3">
      <c r="A3563" s="2">
        <v>3562</v>
      </c>
      <c r="B3563" s="1" t="s">
        <v>7566</v>
      </c>
      <c r="C3563" s="1" t="s">
        <v>7557</v>
      </c>
      <c r="D3563" s="1" t="s">
        <v>7558</v>
      </c>
      <c r="E3563" s="1" t="s">
        <v>7567</v>
      </c>
      <c r="F3563" s="1" t="str">
        <f>HYPERLINK("https://talan.bank.gov.ua/get-user-certificate/J53258kZCsPcv685W1r7","Завантажити сертифікат")</f>
        <v>Завантажити сертифікат</v>
      </c>
    </row>
    <row r="3564" spans="1:6" ht="28.8" x14ac:dyDescent="0.3">
      <c r="A3564" s="2">
        <v>3563</v>
      </c>
      <c r="B3564" s="1" t="s">
        <v>7568</v>
      </c>
      <c r="C3564" s="1" t="s">
        <v>7557</v>
      </c>
      <c r="D3564" s="1" t="s">
        <v>7558</v>
      </c>
      <c r="E3564" s="1" t="s">
        <v>7569</v>
      </c>
      <c r="F3564" s="1" t="str">
        <f>HYPERLINK("https://talan.bank.gov.ua/get-user-certificate/J5325zHKZrjVXQZhlOOp","Завантажити сертифікат")</f>
        <v>Завантажити сертифікат</v>
      </c>
    </row>
    <row r="3565" spans="1:6" ht="28.8" x14ac:dyDescent="0.3">
      <c r="A3565" s="2">
        <v>3564</v>
      </c>
      <c r="B3565" s="1" t="s">
        <v>7570</v>
      </c>
      <c r="C3565" s="1" t="s">
        <v>7557</v>
      </c>
      <c r="D3565" s="1" t="s">
        <v>7558</v>
      </c>
      <c r="E3565" s="1" t="s">
        <v>7571</v>
      </c>
      <c r="F3565" s="1" t="str">
        <f>HYPERLINK("https://talan.bank.gov.ua/get-user-certificate/J5325QaZjpQSzhwswpQx","Завантажити сертифікат")</f>
        <v>Завантажити сертифікат</v>
      </c>
    </row>
    <row r="3566" spans="1:6" ht="28.8" x14ac:dyDescent="0.3">
      <c r="A3566" s="2">
        <v>3565</v>
      </c>
      <c r="B3566" s="1" t="s">
        <v>7572</v>
      </c>
      <c r="C3566" s="1" t="s">
        <v>7557</v>
      </c>
      <c r="D3566" s="1" t="s">
        <v>7558</v>
      </c>
      <c r="E3566" s="1" t="s">
        <v>7573</v>
      </c>
      <c r="F3566" s="1" t="str">
        <f>HYPERLINK("https://talan.bank.gov.ua/get-user-certificate/J5325zwNCNZUQgbSkPYH","Завантажити сертифікат")</f>
        <v>Завантажити сертифікат</v>
      </c>
    </row>
    <row r="3567" spans="1:6" ht="28.8" x14ac:dyDescent="0.3">
      <c r="A3567" s="2">
        <v>3566</v>
      </c>
      <c r="B3567" s="1" t="s">
        <v>7574</v>
      </c>
      <c r="C3567" s="1" t="s">
        <v>7557</v>
      </c>
      <c r="D3567" s="1" t="s">
        <v>7558</v>
      </c>
      <c r="E3567" s="1" t="s">
        <v>7575</v>
      </c>
      <c r="F3567" s="1" t="str">
        <f>HYPERLINK("https://talan.bank.gov.ua/get-user-certificate/J5325F2wkpZBDTrAOEjW","Завантажити сертифікат")</f>
        <v>Завантажити сертифікат</v>
      </c>
    </row>
    <row r="3568" spans="1:6" ht="28.8" x14ac:dyDescent="0.3">
      <c r="A3568" s="2">
        <v>3567</v>
      </c>
      <c r="B3568" s="1" t="s">
        <v>7576</v>
      </c>
      <c r="C3568" s="1" t="s">
        <v>7557</v>
      </c>
      <c r="D3568" s="1" t="s">
        <v>7558</v>
      </c>
      <c r="E3568" s="1" t="s">
        <v>7577</v>
      </c>
      <c r="F3568" s="1" t="str">
        <f>HYPERLINK("https://talan.bank.gov.ua/get-user-certificate/J5325nYVj4eIXdbSOsRG","Завантажити сертифікат")</f>
        <v>Завантажити сертифікат</v>
      </c>
    </row>
    <row r="3569" spans="1:6" ht="28.8" x14ac:dyDescent="0.3">
      <c r="A3569" s="2">
        <v>3568</v>
      </c>
      <c r="B3569" s="1" t="s">
        <v>7578</v>
      </c>
      <c r="C3569" s="1" t="s">
        <v>7557</v>
      </c>
      <c r="D3569" s="1" t="s">
        <v>7558</v>
      </c>
      <c r="E3569" s="1" t="s">
        <v>7579</v>
      </c>
      <c r="F3569" s="1" t="str">
        <f>HYPERLINK("https://talan.bank.gov.ua/get-user-certificate/J5325Vy1vNJvPw_uV1j_","Завантажити сертифікат")</f>
        <v>Завантажити сертифікат</v>
      </c>
    </row>
    <row r="3570" spans="1:6" ht="28.8" x14ac:dyDescent="0.3">
      <c r="A3570" s="2">
        <v>3569</v>
      </c>
      <c r="B3570" s="1" t="s">
        <v>7580</v>
      </c>
      <c r="C3570" s="1" t="s">
        <v>7557</v>
      </c>
      <c r="D3570" s="1" t="s">
        <v>7558</v>
      </c>
      <c r="E3570" s="1" t="s">
        <v>7581</v>
      </c>
      <c r="F3570" s="1" t="str">
        <f>HYPERLINK("https://talan.bank.gov.ua/get-user-certificate/J5325K_qjTX9Vufp7POZ","Завантажити сертифікат")</f>
        <v>Завантажити сертифікат</v>
      </c>
    </row>
    <row r="3571" spans="1:6" ht="28.8" x14ac:dyDescent="0.3">
      <c r="A3571" s="2">
        <v>3570</v>
      </c>
      <c r="B3571" s="1" t="s">
        <v>7582</v>
      </c>
      <c r="C3571" s="1" t="s">
        <v>7557</v>
      </c>
      <c r="D3571" s="1" t="s">
        <v>7558</v>
      </c>
      <c r="E3571" s="1" t="s">
        <v>7583</v>
      </c>
      <c r="F3571" s="1" t="str">
        <f>HYPERLINK("https://talan.bank.gov.ua/get-user-certificate/J5325S4bXGmMZ1UR1tW-","Завантажити сертифікат")</f>
        <v>Завантажити сертифікат</v>
      </c>
    </row>
    <row r="3572" spans="1:6" ht="28.8" x14ac:dyDescent="0.3">
      <c r="A3572" s="2">
        <v>3571</v>
      </c>
      <c r="B3572" s="1" t="s">
        <v>7584</v>
      </c>
      <c r="C3572" s="1" t="s">
        <v>7557</v>
      </c>
      <c r="D3572" s="1" t="s">
        <v>7558</v>
      </c>
      <c r="E3572" s="1" t="s">
        <v>7585</v>
      </c>
      <c r="F3572" s="1" t="str">
        <f>HYPERLINK("https://talan.bank.gov.ua/get-user-certificate/J5325sFpoV3ZAGwyvqVA","Завантажити сертифікат")</f>
        <v>Завантажити сертифікат</v>
      </c>
    </row>
    <row r="3573" spans="1:6" ht="28.8" x14ac:dyDescent="0.3">
      <c r="A3573" s="2">
        <v>3572</v>
      </c>
      <c r="B3573" s="1" t="s">
        <v>7586</v>
      </c>
      <c r="C3573" s="1" t="s">
        <v>7557</v>
      </c>
      <c r="D3573" s="1" t="s">
        <v>7558</v>
      </c>
      <c r="E3573" s="1" t="s">
        <v>7587</v>
      </c>
      <c r="F3573" s="1" t="str">
        <f>HYPERLINK("https://talan.bank.gov.ua/get-user-certificate/J53256XruWexUYqvB2Yy","Завантажити сертифікат")</f>
        <v>Завантажити сертифікат</v>
      </c>
    </row>
    <row r="3574" spans="1:6" ht="28.8" x14ac:dyDescent="0.3">
      <c r="A3574" s="2">
        <v>3573</v>
      </c>
      <c r="B3574" s="1" t="s">
        <v>7588</v>
      </c>
      <c r="C3574" s="1" t="s">
        <v>7557</v>
      </c>
      <c r="D3574" s="1" t="s">
        <v>7558</v>
      </c>
      <c r="E3574" s="1" t="s">
        <v>7589</v>
      </c>
      <c r="F3574" s="1" t="str">
        <f>HYPERLINK("https://talan.bank.gov.ua/get-user-certificate/J5325bZE7G9KBrqqCYrI","Завантажити сертифікат")</f>
        <v>Завантажити сертифікат</v>
      </c>
    </row>
    <row r="3575" spans="1:6" ht="28.8" x14ac:dyDescent="0.3">
      <c r="A3575" s="2">
        <v>3574</v>
      </c>
      <c r="B3575" s="1" t="s">
        <v>7590</v>
      </c>
      <c r="C3575" s="1" t="s">
        <v>7557</v>
      </c>
      <c r="D3575" s="1" t="s">
        <v>7558</v>
      </c>
      <c r="E3575" s="1" t="s">
        <v>7591</v>
      </c>
      <c r="F3575" s="1" t="str">
        <f>HYPERLINK("https://talan.bank.gov.ua/get-user-certificate/J5325vJFIblSSbgRB-1a","Завантажити сертифікат")</f>
        <v>Завантажити сертифікат</v>
      </c>
    </row>
    <row r="3576" spans="1:6" ht="28.8" x14ac:dyDescent="0.3">
      <c r="A3576" s="2">
        <v>3575</v>
      </c>
      <c r="B3576" s="1" t="s">
        <v>7592</v>
      </c>
      <c r="C3576" s="1" t="s">
        <v>7557</v>
      </c>
      <c r="D3576" s="1" t="s">
        <v>7558</v>
      </c>
      <c r="E3576" s="1" t="s">
        <v>7593</v>
      </c>
      <c r="F3576" s="1" t="str">
        <f>HYPERLINK("https://talan.bank.gov.ua/get-user-certificate/J5325HOD6LZJx0PjenlR","Завантажити сертифікат")</f>
        <v>Завантажити сертифікат</v>
      </c>
    </row>
    <row r="3577" spans="1:6" ht="28.8" x14ac:dyDescent="0.3">
      <c r="A3577" s="2">
        <v>3576</v>
      </c>
      <c r="B3577" s="1" t="s">
        <v>7594</v>
      </c>
      <c r="C3577" s="1" t="s">
        <v>7557</v>
      </c>
      <c r="D3577" s="1" t="s">
        <v>7558</v>
      </c>
      <c r="E3577" s="1" t="s">
        <v>7595</v>
      </c>
      <c r="F3577" s="1" t="str">
        <f>HYPERLINK("https://talan.bank.gov.ua/get-user-certificate/J53259h7iLxq7tPLD-zr","Завантажити сертифікат")</f>
        <v>Завантажити сертифікат</v>
      </c>
    </row>
    <row r="3578" spans="1:6" ht="28.8" x14ac:dyDescent="0.3">
      <c r="A3578" s="2">
        <v>3577</v>
      </c>
      <c r="B3578" s="1" t="s">
        <v>7596</v>
      </c>
      <c r="C3578" s="1" t="s">
        <v>7557</v>
      </c>
      <c r="D3578" s="1" t="s">
        <v>7558</v>
      </c>
      <c r="E3578" s="1" t="s">
        <v>7597</v>
      </c>
      <c r="F3578" s="1" t="str">
        <f>HYPERLINK("https://talan.bank.gov.ua/get-user-certificate/J5325k2q6fCOtLW_y-6U","Завантажити сертифікат")</f>
        <v>Завантажити сертифікат</v>
      </c>
    </row>
    <row r="3579" spans="1:6" ht="28.8" x14ac:dyDescent="0.3">
      <c r="A3579" s="2">
        <v>3578</v>
      </c>
      <c r="B3579" s="1" t="s">
        <v>7598</v>
      </c>
      <c r="C3579" s="1" t="s">
        <v>7557</v>
      </c>
      <c r="D3579" s="1" t="s">
        <v>7558</v>
      </c>
      <c r="E3579" s="1" t="s">
        <v>7599</v>
      </c>
      <c r="F3579" s="1" t="str">
        <f>HYPERLINK("https://talan.bank.gov.ua/get-user-certificate/J5325w7uyjaPhidbqCl6","Завантажити сертифікат")</f>
        <v>Завантажити сертифікат</v>
      </c>
    </row>
    <row r="3580" spans="1:6" ht="28.8" x14ac:dyDescent="0.3">
      <c r="A3580" s="2">
        <v>3579</v>
      </c>
      <c r="B3580" s="1" t="s">
        <v>7600</v>
      </c>
      <c r="C3580" s="1" t="s">
        <v>7557</v>
      </c>
      <c r="D3580" s="1" t="s">
        <v>7558</v>
      </c>
      <c r="E3580" s="1" t="s">
        <v>7601</v>
      </c>
      <c r="F3580" s="1" t="str">
        <f>HYPERLINK("https://talan.bank.gov.ua/get-user-certificate/J53256BDeKYTdz9PD7E1","Завантажити сертифікат")</f>
        <v>Завантажити сертифікат</v>
      </c>
    </row>
    <row r="3581" spans="1:6" ht="28.8" x14ac:dyDescent="0.3">
      <c r="A3581" s="2">
        <v>3580</v>
      </c>
      <c r="B3581" s="1" t="s">
        <v>7602</v>
      </c>
      <c r="C3581" s="1" t="s">
        <v>7557</v>
      </c>
      <c r="D3581" s="1" t="s">
        <v>7558</v>
      </c>
      <c r="E3581" s="1" t="s">
        <v>7603</v>
      </c>
      <c r="F3581" s="1" t="str">
        <f>HYPERLINK("https://talan.bank.gov.ua/get-user-certificate/J53251VtAQGhqV1GNLpi","Завантажити сертифікат")</f>
        <v>Завантажити сертифікат</v>
      </c>
    </row>
    <row r="3582" spans="1:6" ht="28.8" x14ac:dyDescent="0.3">
      <c r="A3582" s="2">
        <v>3581</v>
      </c>
      <c r="B3582" s="1" t="s">
        <v>7604</v>
      </c>
      <c r="C3582" s="1" t="s">
        <v>7557</v>
      </c>
      <c r="D3582" s="1" t="s">
        <v>7558</v>
      </c>
      <c r="E3582" s="1" t="s">
        <v>7605</v>
      </c>
      <c r="F3582" s="1" t="str">
        <f>HYPERLINK("https://talan.bank.gov.ua/get-user-certificate/J5325rbu3jFLK70JrufF","Завантажити сертифікат")</f>
        <v>Завантажити сертифікат</v>
      </c>
    </row>
    <row r="3583" spans="1:6" ht="28.8" x14ac:dyDescent="0.3">
      <c r="A3583" s="2">
        <v>3582</v>
      </c>
      <c r="B3583" s="1" t="s">
        <v>7606</v>
      </c>
      <c r="C3583" s="1" t="s">
        <v>7557</v>
      </c>
      <c r="D3583" s="1" t="s">
        <v>7558</v>
      </c>
      <c r="E3583" s="1" t="s">
        <v>7607</v>
      </c>
      <c r="F3583" s="1" t="str">
        <f>HYPERLINK("https://talan.bank.gov.ua/get-user-certificate/J5325GXCSeLYCStlUEyY","Завантажити сертифікат")</f>
        <v>Завантажити сертифікат</v>
      </c>
    </row>
    <row r="3584" spans="1:6" ht="28.8" x14ac:dyDescent="0.3">
      <c r="A3584" s="2">
        <v>3583</v>
      </c>
      <c r="B3584" s="1" t="s">
        <v>7608</v>
      </c>
      <c r="C3584" s="1" t="s">
        <v>7557</v>
      </c>
      <c r="D3584" s="1" t="s">
        <v>7558</v>
      </c>
      <c r="E3584" s="1" t="s">
        <v>7609</v>
      </c>
      <c r="F3584" s="1" t="str">
        <f>HYPERLINK("https://talan.bank.gov.ua/get-user-certificate/J53250Vtn3N19Pm42j4H","Завантажити сертифікат")</f>
        <v>Завантажити сертифікат</v>
      </c>
    </row>
    <row r="3585" spans="1:6" ht="28.8" x14ac:dyDescent="0.3">
      <c r="A3585" s="2">
        <v>3584</v>
      </c>
      <c r="B3585" s="1" t="s">
        <v>7610</v>
      </c>
      <c r="C3585" s="1" t="s">
        <v>7557</v>
      </c>
      <c r="D3585" s="1" t="s">
        <v>7558</v>
      </c>
      <c r="E3585" s="1" t="s">
        <v>7611</v>
      </c>
      <c r="F3585" s="1" t="str">
        <f>HYPERLINK("https://talan.bank.gov.ua/get-user-certificate/J5325IEqwkPEE5thPE0o","Завантажити сертифікат")</f>
        <v>Завантажити сертифікат</v>
      </c>
    </row>
    <row r="3586" spans="1:6" ht="28.8" x14ac:dyDescent="0.3">
      <c r="A3586" s="2">
        <v>3585</v>
      </c>
      <c r="B3586" s="1" t="s">
        <v>7612</v>
      </c>
      <c r="C3586" s="1" t="s">
        <v>7557</v>
      </c>
      <c r="D3586" s="1" t="s">
        <v>7558</v>
      </c>
      <c r="E3586" s="1" t="s">
        <v>7613</v>
      </c>
      <c r="F3586" s="1" t="str">
        <f>HYPERLINK("https://talan.bank.gov.ua/get-user-certificate/J5325VItdPWmQdBbuOEh","Завантажити сертифікат")</f>
        <v>Завантажити сертифікат</v>
      </c>
    </row>
    <row r="3587" spans="1:6" ht="28.8" x14ac:dyDescent="0.3">
      <c r="A3587" s="2">
        <v>3586</v>
      </c>
      <c r="B3587" s="1" t="s">
        <v>7614</v>
      </c>
      <c r="C3587" s="1" t="s">
        <v>7557</v>
      </c>
      <c r="D3587" s="1" t="s">
        <v>7558</v>
      </c>
      <c r="E3587" s="1" t="s">
        <v>7615</v>
      </c>
      <c r="F3587" s="1" t="str">
        <f>HYPERLINK("https://talan.bank.gov.ua/get-user-certificate/J53250aDs3biDYNrB-iv","Завантажити сертифікат")</f>
        <v>Завантажити сертифікат</v>
      </c>
    </row>
    <row r="3588" spans="1:6" ht="28.8" x14ac:dyDescent="0.3">
      <c r="A3588" s="2">
        <v>3587</v>
      </c>
      <c r="B3588" s="1" t="s">
        <v>7616</v>
      </c>
      <c r="C3588" s="1" t="s">
        <v>7557</v>
      </c>
      <c r="D3588" s="1" t="s">
        <v>7558</v>
      </c>
      <c r="E3588" s="1" t="s">
        <v>7617</v>
      </c>
      <c r="F3588" s="1" t="str">
        <f>HYPERLINK("https://talan.bank.gov.ua/get-user-certificate/J5325gIrxh1ocXRFSmDd","Завантажити сертифікат")</f>
        <v>Завантажити сертифікат</v>
      </c>
    </row>
    <row r="3589" spans="1:6" ht="28.8" x14ac:dyDescent="0.3">
      <c r="A3589" s="2">
        <v>3588</v>
      </c>
      <c r="B3589" s="1" t="s">
        <v>7618</v>
      </c>
      <c r="C3589" s="1" t="s">
        <v>7557</v>
      </c>
      <c r="D3589" s="1" t="s">
        <v>7558</v>
      </c>
      <c r="E3589" s="1" t="s">
        <v>7619</v>
      </c>
      <c r="F3589" s="1" t="str">
        <f>HYPERLINK("https://talan.bank.gov.ua/get-user-certificate/J5325NAbUhCBrTgKMInL","Завантажити сертифікат")</f>
        <v>Завантажити сертифікат</v>
      </c>
    </row>
    <row r="3590" spans="1:6" ht="28.8" x14ac:dyDescent="0.3">
      <c r="A3590" s="2">
        <v>3589</v>
      </c>
      <c r="B3590" s="1" t="s">
        <v>7620</v>
      </c>
      <c r="C3590" s="1" t="s">
        <v>7557</v>
      </c>
      <c r="D3590" s="1" t="s">
        <v>7558</v>
      </c>
      <c r="E3590" s="1" t="s">
        <v>7621</v>
      </c>
      <c r="F3590" s="1" t="str">
        <f>HYPERLINK("https://talan.bank.gov.ua/get-user-certificate/J5325BXRUlKqChTadrzc","Завантажити сертифікат")</f>
        <v>Завантажити сертифікат</v>
      </c>
    </row>
    <row r="3591" spans="1:6" ht="28.8" x14ac:dyDescent="0.3">
      <c r="A3591" s="2">
        <v>3590</v>
      </c>
      <c r="B3591" s="1" t="s">
        <v>7622</v>
      </c>
      <c r="C3591" s="1" t="s">
        <v>7557</v>
      </c>
      <c r="D3591" s="1" t="s">
        <v>7558</v>
      </c>
      <c r="E3591" s="1" t="s">
        <v>7623</v>
      </c>
      <c r="F3591" s="1" t="str">
        <f>HYPERLINK("https://talan.bank.gov.ua/get-user-certificate/J5325fHxS1EfNt-qfDd3","Завантажити сертифікат")</f>
        <v>Завантажити сертифікат</v>
      </c>
    </row>
    <row r="3592" spans="1:6" ht="28.8" x14ac:dyDescent="0.3">
      <c r="A3592" s="2">
        <v>3591</v>
      </c>
      <c r="B3592" s="1" t="s">
        <v>7624</v>
      </c>
      <c r="C3592" s="1" t="s">
        <v>7557</v>
      </c>
      <c r="D3592" s="1" t="s">
        <v>7558</v>
      </c>
      <c r="E3592" s="1" t="s">
        <v>7625</v>
      </c>
      <c r="F3592" s="1" t="str">
        <f>HYPERLINK("https://talan.bank.gov.ua/get-user-certificate/J5325FmKIwLn9rDt5zAO","Завантажити сертифікат")</f>
        <v>Завантажити сертифікат</v>
      </c>
    </row>
    <row r="3593" spans="1:6" ht="28.8" x14ac:dyDescent="0.3">
      <c r="A3593" s="2">
        <v>3592</v>
      </c>
      <c r="B3593" s="1" t="s">
        <v>7626</v>
      </c>
      <c r="C3593" s="1" t="s">
        <v>7557</v>
      </c>
      <c r="D3593" s="1" t="s">
        <v>7558</v>
      </c>
      <c r="E3593" s="1" t="s">
        <v>7627</v>
      </c>
      <c r="F3593" s="1" t="str">
        <f>HYPERLINK("https://talan.bank.gov.ua/get-user-certificate/J5325-QAVmgzYo6KrPLm","Завантажити сертифікат")</f>
        <v>Завантажити сертифікат</v>
      </c>
    </row>
    <row r="3594" spans="1:6" ht="28.8" x14ac:dyDescent="0.3">
      <c r="A3594" s="2">
        <v>3593</v>
      </c>
      <c r="B3594" s="1" t="s">
        <v>7628</v>
      </c>
      <c r="C3594" s="1" t="s">
        <v>7557</v>
      </c>
      <c r="D3594" s="1" t="s">
        <v>7558</v>
      </c>
      <c r="E3594" s="1" t="s">
        <v>7629</v>
      </c>
      <c r="F3594" s="1" t="str">
        <f>HYPERLINK("https://talan.bank.gov.ua/get-user-certificate/J5325zINTsFX0oS4S0qh","Завантажити сертифікат")</f>
        <v>Завантажити сертифікат</v>
      </c>
    </row>
    <row r="3595" spans="1:6" ht="28.8" x14ac:dyDescent="0.3">
      <c r="A3595" s="2">
        <v>3594</v>
      </c>
      <c r="B3595" s="1" t="s">
        <v>7630</v>
      </c>
      <c r="C3595" s="1" t="s">
        <v>7557</v>
      </c>
      <c r="D3595" s="1" t="s">
        <v>7558</v>
      </c>
      <c r="E3595" s="1" t="s">
        <v>7631</v>
      </c>
      <c r="F3595" s="1" t="str">
        <f>HYPERLINK("https://talan.bank.gov.ua/get-user-certificate/J5325jH1dBOEwlx3ZjAc","Завантажити сертифікат")</f>
        <v>Завантажити сертифікат</v>
      </c>
    </row>
    <row r="3596" spans="1:6" ht="28.8" x14ac:dyDescent="0.3">
      <c r="A3596" s="2">
        <v>3595</v>
      </c>
      <c r="B3596" s="1" t="s">
        <v>7632</v>
      </c>
      <c r="C3596" s="1" t="s">
        <v>7557</v>
      </c>
      <c r="D3596" s="1" t="s">
        <v>7558</v>
      </c>
      <c r="E3596" s="1" t="s">
        <v>7633</v>
      </c>
      <c r="F3596" s="1" t="str">
        <f>HYPERLINK("https://talan.bank.gov.ua/get-user-certificate/J532579n-SMH1JrKwprn","Завантажити сертифікат")</f>
        <v>Завантажити сертифікат</v>
      </c>
    </row>
    <row r="3597" spans="1:6" ht="28.8" x14ac:dyDescent="0.3">
      <c r="A3597" s="2">
        <v>3596</v>
      </c>
      <c r="B3597" s="1" t="s">
        <v>7634</v>
      </c>
      <c r="C3597" s="1" t="s">
        <v>7557</v>
      </c>
      <c r="D3597" s="1" t="s">
        <v>7558</v>
      </c>
      <c r="E3597" s="1" t="s">
        <v>7635</v>
      </c>
      <c r="F3597" s="1" t="str">
        <f>HYPERLINK("https://talan.bank.gov.ua/get-user-certificate/J5325z_YohXby7SQpbAT","Завантажити сертифікат")</f>
        <v>Завантажити сертифікат</v>
      </c>
    </row>
    <row r="3598" spans="1:6" ht="28.8" x14ac:dyDescent="0.3">
      <c r="A3598" s="2">
        <v>3597</v>
      </c>
      <c r="B3598" s="1" t="s">
        <v>7636</v>
      </c>
      <c r="C3598" s="1" t="s">
        <v>7557</v>
      </c>
      <c r="D3598" s="1" t="s">
        <v>7558</v>
      </c>
      <c r="E3598" s="1" t="s">
        <v>7637</v>
      </c>
      <c r="F3598" s="1" t="str">
        <f>HYPERLINK("https://talan.bank.gov.ua/get-user-certificate/J5325t-GUbq8F2q0WhG4","Завантажити сертифікат")</f>
        <v>Завантажити сертифікат</v>
      </c>
    </row>
    <row r="3599" spans="1:6" ht="28.8" x14ac:dyDescent="0.3">
      <c r="A3599" s="2">
        <v>3598</v>
      </c>
      <c r="B3599" s="1" t="s">
        <v>7638</v>
      </c>
      <c r="C3599" s="1" t="s">
        <v>7557</v>
      </c>
      <c r="D3599" s="1" t="s">
        <v>7558</v>
      </c>
      <c r="E3599" s="1" t="s">
        <v>7639</v>
      </c>
      <c r="F3599" s="1" t="str">
        <f>HYPERLINK("https://talan.bank.gov.ua/get-user-certificate/J5325zhQSZHhkbYGCvPe","Завантажити сертифікат")</f>
        <v>Завантажити сертифікат</v>
      </c>
    </row>
    <row r="3600" spans="1:6" ht="28.8" x14ac:dyDescent="0.3">
      <c r="A3600" s="2">
        <v>3599</v>
      </c>
      <c r="B3600" s="1" t="s">
        <v>7640</v>
      </c>
      <c r="C3600" s="1" t="s">
        <v>7557</v>
      </c>
      <c r="D3600" s="1" t="s">
        <v>7558</v>
      </c>
      <c r="E3600" s="1" t="s">
        <v>7641</v>
      </c>
      <c r="F3600" s="1" t="str">
        <f>HYPERLINK("https://talan.bank.gov.ua/get-user-certificate/J5325gZ1yuW3fUFWN1ti","Завантажити сертифікат")</f>
        <v>Завантажити сертифікат</v>
      </c>
    </row>
    <row r="3601" spans="1:6" ht="28.8" x14ac:dyDescent="0.3">
      <c r="A3601" s="2">
        <v>3600</v>
      </c>
      <c r="B3601" s="1" t="s">
        <v>7642</v>
      </c>
      <c r="C3601" s="1" t="s">
        <v>7557</v>
      </c>
      <c r="D3601" s="1" t="s">
        <v>7558</v>
      </c>
      <c r="E3601" s="1" t="s">
        <v>7643</v>
      </c>
      <c r="F3601" s="1" t="str">
        <f>HYPERLINK("https://talan.bank.gov.ua/get-user-certificate/J5325clo29UZmDZ3LZtT","Завантажити сертифікат")</f>
        <v>Завантажити сертифікат</v>
      </c>
    </row>
    <row r="3602" spans="1:6" ht="28.8" x14ac:dyDescent="0.3">
      <c r="A3602" s="2">
        <v>3601</v>
      </c>
      <c r="B3602" s="1" t="s">
        <v>7644</v>
      </c>
      <c r="C3602" s="1" t="s">
        <v>7557</v>
      </c>
      <c r="D3602" s="1" t="s">
        <v>7558</v>
      </c>
      <c r="E3602" s="1" t="s">
        <v>7645</v>
      </c>
      <c r="F3602" s="1" t="str">
        <f>HYPERLINK("https://talan.bank.gov.ua/get-user-certificate/J5325ymvaIYYKW4mEuVT","Завантажити сертифікат")</f>
        <v>Завантажити сертифікат</v>
      </c>
    </row>
    <row r="3603" spans="1:6" ht="28.8" x14ac:dyDescent="0.3">
      <c r="A3603" s="2">
        <v>3602</v>
      </c>
      <c r="B3603" s="1" t="s">
        <v>7646</v>
      </c>
      <c r="C3603" s="1" t="s">
        <v>7557</v>
      </c>
      <c r="D3603" s="1" t="s">
        <v>7558</v>
      </c>
      <c r="E3603" s="1" t="s">
        <v>7647</v>
      </c>
      <c r="F3603" s="1" t="str">
        <f>HYPERLINK("https://talan.bank.gov.ua/get-user-certificate/J5325s73ZYGwTURGzqIe","Завантажити сертифікат")</f>
        <v>Завантажити сертифікат</v>
      </c>
    </row>
    <row r="3604" spans="1:6" ht="28.8" x14ac:dyDescent="0.3">
      <c r="A3604" s="2">
        <v>3603</v>
      </c>
      <c r="B3604" s="1" t="s">
        <v>7648</v>
      </c>
      <c r="C3604" s="1" t="s">
        <v>7557</v>
      </c>
      <c r="D3604" s="1" t="s">
        <v>7558</v>
      </c>
      <c r="E3604" s="1" t="s">
        <v>7649</v>
      </c>
      <c r="F3604" s="1" t="str">
        <f>HYPERLINK("https://talan.bank.gov.ua/get-user-certificate/J5325ONey6p7UxGnrvO4","Завантажити сертифікат")</f>
        <v>Завантажити сертифікат</v>
      </c>
    </row>
    <row r="3605" spans="1:6" ht="28.8" x14ac:dyDescent="0.3">
      <c r="A3605" s="2">
        <v>3604</v>
      </c>
      <c r="B3605" s="1" t="s">
        <v>7650</v>
      </c>
      <c r="C3605" s="1" t="s">
        <v>7651</v>
      </c>
      <c r="D3605" s="1" t="s">
        <v>7652</v>
      </c>
      <c r="E3605" s="1" t="s">
        <v>7653</v>
      </c>
      <c r="F3605" s="1" t="str">
        <f>HYPERLINK("https://talan.bank.gov.ua/get-user-certificate/J5325AekULW6lW2_32hi","Завантажити сертифікат")</f>
        <v>Завантажити сертифікат</v>
      </c>
    </row>
    <row r="3606" spans="1:6" ht="28.8" x14ac:dyDescent="0.3">
      <c r="A3606" s="2">
        <v>3605</v>
      </c>
      <c r="B3606" s="1" t="s">
        <v>7654</v>
      </c>
      <c r="C3606" s="1" t="s">
        <v>7651</v>
      </c>
      <c r="D3606" s="1" t="s">
        <v>7652</v>
      </c>
      <c r="E3606" s="1" t="s">
        <v>7655</v>
      </c>
      <c r="F3606" s="1" t="str">
        <f>HYPERLINK("https://talan.bank.gov.ua/get-user-certificate/J5325zknaJfHSNh4Eq6B","Завантажити сертифікат")</f>
        <v>Завантажити сертифікат</v>
      </c>
    </row>
    <row r="3607" spans="1:6" ht="28.8" x14ac:dyDescent="0.3">
      <c r="A3607" s="2">
        <v>3606</v>
      </c>
      <c r="B3607" s="1" t="s">
        <v>7656</v>
      </c>
      <c r="C3607" s="1" t="s">
        <v>7651</v>
      </c>
      <c r="D3607" s="1" t="s">
        <v>7652</v>
      </c>
      <c r="E3607" s="1" t="s">
        <v>7657</v>
      </c>
      <c r="F3607" s="1" t="str">
        <f>HYPERLINK("https://talan.bank.gov.ua/get-user-certificate/J5325XMh8PHzR5Unff2C","Завантажити сертифікат")</f>
        <v>Завантажити сертифікат</v>
      </c>
    </row>
    <row r="3608" spans="1:6" ht="28.8" x14ac:dyDescent="0.3">
      <c r="A3608" s="2">
        <v>3607</v>
      </c>
      <c r="B3608" s="1" t="s">
        <v>7658</v>
      </c>
      <c r="C3608" s="1" t="s">
        <v>7651</v>
      </c>
      <c r="D3608" s="1" t="s">
        <v>7652</v>
      </c>
      <c r="E3608" s="1" t="s">
        <v>7659</v>
      </c>
      <c r="F3608" s="1" t="str">
        <f>HYPERLINK("https://talan.bank.gov.ua/get-user-certificate/J5325EpowroqZYnTI_uD","Завантажити сертифікат")</f>
        <v>Завантажити сертифікат</v>
      </c>
    </row>
    <row r="3609" spans="1:6" ht="28.8" x14ac:dyDescent="0.3">
      <c r="A3609" s="2">
        <v>3608</v>
      </c>
      <c r="B3609" s="1" t="s">
        <v>7660</v>
      </c>
      <c r="C3609" s="1" t="s">
        <v>7651</v>
      </c>
      <c r="D3609" s="1" t="s">
        <v>7652</v>
      </c>
      <c r="E3609" s="1" t="s">
        <v>7661</v>
      </c>
      <c r="F3609" s="1" t="str">
        <f>HYPERLINK("https://talan.bank.gov.ua/get-user-certificate/J5325rTfcL7HQYPq6BEQ","Завантажити сертифікат")</f>
        <v>Завантажити сертифікат</v>
      </c>
    </row>
    <row r="3610" spans="1:6" ht="28.8" x14ac:dyDescent="0.3">
      <c r="A3610" s="2">
        <v>3609</v>
      </c>
      <c r="B3610" s="1" t="s">
        <v>7662</v>
      </c>
      <c r="C3610" s="1" t="s">
        <v>7651</v>
      </c>
      <c r="D3610" s="1" t="s">
        <v>7652</v>
      </c>
      <c r="E3610" s="1" t="s">
        <v>7663</v>
      </c>
      <c r="F3610" s="1" t="str">
        <f>HYPERLINK("https://talan.bank.gov.ua/get-user-certificate/J5325VO3LiXqEtN-XxT8","Завантажити сертифікат")</f>
        <v>Завантажити сертифікат</v>
      </c>
    </row>
    <row r="3611" spans="1:6" ht="28.8" x14ac:dyDescent="0.3">
      <c r="A3611" s="2">
        <v>3610</v>
      </c>
      <c r="B3611" s="1" t="s">
        <v>7664</v>
      </c>
      <c r="C3611" s="1" t="s">
        <v>7651</v>
      </c>
      <c r="D3611" s="1" t="s">
        <v>7652</v>
      </c>
      <c r="E3611" s="1" t="s">
        <v>7665</v>
      </c>
      <c r="F3611" s="1" t="str">
        <f>HYPERLINK("https://talan.bank.gov.ua/get-user-certificate/J53252px-fl4aBThGtMV","Завантажити сертифікат")</f>
        <v>Завантажити сертифікат</v>
      </c>
    </row>
    <row r="3612" spans="1:6" ht="28.8" x14ac:dyDescent="0.3">
      <c r="A3612" s="2">
        <v>3611</v>
      </c>
      <c r="B3612" s="1" t="s">
        <v>7666</v>
      </c>
      <c r="C3612" s="1" t="s">
        <v>7651</v>
      </c>
      <c r="D3612" s="1" t="s">
        <v>7652</v>
      </c>
      <c r="E3612" s="1" t="s">
        <v>7667</v>
      </c>
      <c r="F3612" s="1" t="str">
        <f>HYPERLINK("https://talan.bank.gov.ua/get-user-certificate/J5325vbS4h6FFEdr2lmZ","Завантажити сертифікат")</f>
        <v>Завантажити сертифікат</v>
      </c>
    </row>
    <row r="3613" spans="1:6" ht="28.8" x14ac:dyDescent="0.3">
      <c r="A3613" s="2">
        <v>3612</v>
      </c>
      <c r="B3613" s="1" t="s">
        <v>7668</v>
      </c>
      <c r="C3613" s="1" t="s">
        <v>7651</v>
      </c>
      <c r="D3613" s="1" t="s">
        <v>7652</v>
      </c>
      <c r="E3613" s="1" t="s">
        <v>7669</v>
      </c>
      <c r="F3613" s="1" t="str">
        <f>HYPERLINK("https://talan.bank.gov.ua/get-user-certificate/J5325TLCGClLZD-eM3l1","Завантажити сертифікат")</f>
        <v>Завантажити сертифікат</v>
      </c>
    </row>
    <row r="3614" spans="1:6" ht="28.8" x14ac:dyDescent="0.3">
      <c r="A3614" s="2">
        <v>3613</v>
      </c>
      <c r="B3614" s="1" t="s">
        <v>7670</v>
      </c>
      <c r="C3614" s="1" t="s">
        <v>7651</v>
      </c>
      <c r="D3614" s="1" t="s">
        <v>7652</v>
      </c>
      <c r="E3614" s="1" t="s">
        <v>7671</v>
      </c>
      <c r="F3614" s="1" t="str">
        <f>HYPERLINK("https://talan.bank.gov.ua/get-user-certificate/J5325PH058uaxgXgPxAZ","Завантажити сертифікат")</f>
        <v>Завантажити сертифікат</v>
      </c>
    </row>
    <row r="3615" spans="1:6" ht="28.8" x14ac:dyDescent="0.3">
      <c r="A3615" s="2">
        <v>3614</v>
      </c>
      <c r="B3615" s="1" t="s">
        <v>7672</v>
      </c>
      <c r="C3615" s="1" t="s">
        <v>7651</v>
      </c>
      <c r="D3615" s="1" t="s">
        <v>7652</v>
      </c>
      <c r="E3615" s="1" t="s">
        <v>7673</v>
      </c>
      <c r="F3615" s="1" t="str">
        <f>HYPERLINK("https://talan.bank.gov.ua/get-user-certificate/J5325c9fFUE1XfbjLV9Y","Завантажити сертифікат")</f>
        <v>Завантажити сертифікат</v>
      </c>
    </row>
    <row r="3616" spans="1:6" ht="28.8" x14ac:dyDescent="0.3">
      <c r="A3616" s="2">
        <v>3615</v>
      </c>
      <c r="B3616" s="1" t="s">
        <v>7674</v>
      </c>
      <c r="C3616" s="1" t="s">
        <v>7651</v>
      </c>
      <c r="D3616" s="1" t="s">
        <v>7652</v>
      </c>
      <c r="E3616" s="1" t="s">
        <v>7675</v>
      </c>
      <c r="F3616" s="1" t="str">
        <f>HYPERLINK("https://talan.bank.gov.ua/get-user-certificate/J5325axJfdt8b1yvt6qf","Завантажити сертифікат")</f>
        <v>Завантажити сертифікат</v>
      </c>
    </row>
    <row r="3617" spans="1:6" ht="28.8" x14ac:dyDescent="0.3">
      <c r="A3617" s="2">
        <v>3616</v>
      </c>
      <c r="B3617" s="1" t="s">
        <v>7676</v>
      </c>
      <c r="C3617" s="1" t="s">
        <v>7651</v>
      </c>
      <c r="D3617" s="1" t="s">
        <v>7652</v>
      </c>
      <c r="E3617" s="1" t="s">
        <v>7677</v>
      </c>
      <c r="F3617" s="1" t="str">
        <f>HYPERLINK("https://talan.bank.gov.ua/get-user-certificate/J532501ccZX9y09wv_AZ","Завантажити сертифікат")</f>
        <v>Завантажити сертифікат</v>
      </c>
    </row>
    <row r="3618" spans="1:6" ht="28.8" x14ac:dyDescent="0.3">
      <c r="A3618" s="2">
        <v>3617</v>
      </c>
      <c r="B3618" s="1" t="s">
        <v>7678</v>
      </c>
      <c r="C3618" s="1" t="s">
        <v>7651</v>
      </c>
      <c r="D3618" s="1" t="s">
        <v>7652</v>
      </c>
      <c r="E3618" s="1" t="s">
        <v>7679</v>
      </c>
      <c r="F3618" s="1" t="str">
        <f>HYPERLINK("https://talan.bank.gov.ua/get-user-certificate/J5325fPdi6sDhAWRvfZC","Завантажити сертифікат")</f>
        <v>Завантажити сертифікат</v>
      </c>
    </row>
    <row r="3619" spans="1:6" ht="28.8" x14ac:dyDescent="0.3">
      <c r="A3619" s="2">
        <v>3618</v>
      </c>
      <c r="B3619" s="1" t="s">
        <v>7680</v>
      </c>
      <c r="C3619" s="1" t="s">
        <v>7651</v>
      </c>
      <c r="D3619" s="1" t="s">
        <v>7652</v>
      </c>
      <c r="E3619" s="1" t="s">
        <v>7681</v>
      </c>
      <c r="F3619" s="1" t="str">
        <f>HYPERLINK("https://talan.bank.gov.ua/get-user-certificate/J53259vrTpPd0Zv-DeXd","Завантажити сертифікат")</f>
        <v>Завантажити сертифікат</v>
      </c>
    </row>
    <row r="3620" spans="1:6" ht="28.8" x14ac:dyDescent="0.3">
      <c r="A3620" s="2">
        <v>3619</v>
      </c>
      <c r="B3620" s="1" t="s">
        <v>7682</v>
      </c>
      <c r="C3620" s="1" t="s">
        <v>7651</v>
      </c>
      <c r="D3620" s="1" t="s">
        <v>7652</v>
      </c>
      <c r="E3620" s="1" t="s">
        <v>7683</v>
      </c>
      <c r="F3620" s="1" t="str">
        <f>HYPERLINK("https://talan.bank.gov.ua/get-user-certificate/J53250Q9Zt7d0Ac-0WdZ","Завантажити сертифікат")</f>
        <v>Завантажити сертифікат</v>
      </c>
    </row>
    <row r="3621" spans="1:6" ht="28.8" x14ac:dyDescent="0.3">
      <c r="A3621" s="2">
        <v>3620</v>
      </c>
      <c r="B3621" s="1" t="s">
        <v>7684</v>
      </c>
      <c r="C3621" s="1" t="s">
        <v>7651</v>
      </c>
      <c r="D3621" s="1" t="s">
        <v>7652</v>
      </c>
      <c r="E3621" s="1" t="s">
        <v>7685</v>
      </c>
      <c r="F3621" s="1" t="str">
        <f>HYPERLINK("https://talan.bank.gov.ua/get-user-certificate/J5325GKO5VgTie8eR8PP","Завантажити сертифікат")</f>
        <v>Завантажити сертифікат</v>
      </c>
    </row>
    <row r="3622" spans="1:6" ht="28.8" x14ac:dyDescent="0.3">
      <c r="A3622" s="2">
        <v>3621</v>
      </c>
      <c r="B3622" s="1" t="s">
        <v>7686</v>
      </c>
      <c r="C3622" s="1" t="s">
        <v>7651</v>
      </c>
      <c r="D3622" s="1" t="s">
        <v>7652</v>
      </c>
      <c r="E3622" s="1" t="s">
        <v>7687</v>
      </c>
      <c r="F3622" s="1" t="str">
        <f>HYPERLINK("https://talan.bank.gov.ua/get-user-certificate/J5325Rt-DkJcZXoXReyw","Завантажити сертифікат")</f>
        <v>Завантажити сертифікат</v>
      </c>
    </row>
    <row r="3623" spans="1:6" ht="28.8" x14ac:dyDescent="0.3">
      <c r="A3623" s="2">
        <v>3622</v>
      </c>
      <c r="B3623" s="1" t="s">
        <v>7688</v>
      </c>
      <c r="C3623" s="1" t="s">
        <v>7651</v>
      </c>
      <c r="D3623" s="1" t="s">
        <v>7652</v>
      </c>
      <c r="E3623" s="1" t="s">
        <v>7689</v>
      </c>
      <c r="F3623" s="1" t="str">
        <f>HYPERLINK("https://talan.bank.gov.ua/get-user-certificate/J5325w8_0NKnqDvOe4ks","Завантажити сертифікат")</f>
        <v>Завантажити сертифікат</v>
      </c>
    </row>
    <row r="3624" spans="1:6" ht="28.8" x14ac:dyDescent="0.3">
      <c r="A3624" s="2">
        <v>3623</v>
      </c>
      <c r="B3624" s="1" t="s">
        <v>7690</v>
      </c>
      <c r="C3624" s="1" t="s">
        <v>7651</v>
      </c>
      <c r="D3624" s="1" t="s">
        <v>7652</v>
      </c>
      <c r="E3624" s="1" t="s">
        <v>7691</v>
      </c>
      <c r="F3624" s="1" t="str">
        <f>HYPERLINK("https://talan.bank.gov.ua/get-user-certificate/J5325wdjd0znX33RU4z6","Завантажити сертифікат")</f>
        <v>Завантажити сертифікат</v>
      </c>
    </row>
    <row r="3625" spans="1:6" ht="28.8" x14ac:dyDescent="0.3">
      <c r="A3625" s="2">
        <v>3624</v>
      </c>
      <c r="B3625" s="1" t="s">
        <v>7692</v>
      </c>
      <c r="C3625" s="1" t="s">
        <v>7651</v>
      </c>
      <c r="D3625" s="1" t="s">
        <v>7652</v>
      </c>
      <c r="E3625" s="1" t="s">
        <v>7693</v>
      </c>
      <c r="F3625" s="1" t="str">
        <f>HYPERLINK("https://talan.bank.gov.ua/get-user-certificate/J5325ZrD9D-IiPJ3blpe","Завантажити сертифікат")</f>
        <v>Завантажити сертифікат</v>
      </c>
    </row>
    <row r="3626" spans="1:6" ht="28.8" x14ac:dyDescent="0.3">
      <c r="A3626" s="2">
        <v>3625</v>
      </c>
      <c r="B3626" s="1" t="s">
        <v>7694</v>
      </c>
      <c r="C3626" s="1" t="s">
        <v>7651</v>
      </c>
      <c r="D3626" s="1" t="s">
        <v>7652</v>
      </c>
      <c r="E3626" s="1" t="s">
        <v>7695</v>
      </c>
      <c r="F3626" s="1" t="str">
        <f>HYPERLINK("https://talan.bank.gov.ua/get-user-certificate/J5325EFSrnj8gTZGlE-m","Завантажити сертифікат")</f>
        <v>Завантажити сертифікат</v>
      </c>
    </row>
    <row r="3627" spans="1:6" ht="28.8" x14ac:dyDescent="0.3">
      <c r="A3627" s="2">
        <v>3626</v>
      </c>
      <c r="B3627" s="1" t="s">
        <v>7696</v>
      </c>
      <c r="C3627" s="1" t="s">
        <v>7651</v>
      </c>
      <c r="D3627" s="1" t="s">
        <v>7652</v>
      </c>
      <c r="E3627" s="1" t="s">
        <v>7697</v>
      </c>
      <c r="F3627" s="1" t="str">
        <f>HYPERLINK("https://talan.bank.gov.ua/get-user-certificate/J5325Xgwn6UKpc21uBOI","Завантажити сертифікат")</f>
        <v>Завантажити сертифікат</v>
      </c>
    </row>
    <row r="3628" spans="1:6" ht="28.8" x14ac:dyDescent="0.3">
      <c r="A3628" s="2">
        <v>3627</v>
      </c>
      <c r="B3628" s="1" t="s">
        <v>7698</v>
      </c>
      <c r="C3628" s="1" t="s">
        <v>7651</v>
      </c>
      <c r="D3628" s="1" t="s">
        <v>7652</v>
      </c>
      <c r="E3628" s="1" t="s">
        <v>7699</v>
      </c>
      <c r="F3628" s="1" t="str">
        <f>HYPERLINK("https://talan.bank.gov.ua/get-user-certificate/J5325zJOYfCbiWJ6HoEC","Завантажити сертифікат")</f>
        <v>Завантажити сертифікат</v>
      </c>
    </row>
    <row r="3629" spans="1:6" ht="28.8" x14ac:dyDescent="0.3">
      <c r="A3629" s="2">
        <v>3628</v>
      </c>
      <c r="B3629" s="1" t="s">
        <v>7700</v>
      </c>
      <c r="C3629" s="1" t="s">
        <v>7651</v>
      </c>
      <c r="D3629" s="1" t="s">
        <v>7652</v>
      </c>
      <c r="E3629" s="1" t="s">
        <v>7701</v>
      </c>
      <c r="F3629" s="1" t="str">
        <f>HYPERLINK("https://talan.bank.gov.ua/get-user-certificate/J5325L2-HjUifVNvk9-Y","Завантажити сертифікат")</f>
        <v>Завантажити сертифікат</v>
      </c>
    </row>
    <row r="3630" spans="1:6" ht="28.8" x14ac:dyDescent="0.3">
      <c r="A3630" s="2">
        <v>3629</v>
      </c>
      <c r="B3630" s="1" t="s">
        <v>7702</v>
      </c>
      <c r="C3630" s="1" t="s">
        <v>7651</v>
      </c>
      <c r="D3630" s="1" t="s">
        <v>7652</v>
      </c>
      <c r="E3630" s="1" t="s">
        <v>7703</v>
      </c>
      <c r="F3630" s="1" t="str">
        <f>HYPERLINK("https://talan.bank.gov.ua/get-user-certificate/J5325bv6XDeY1XYPhhDR","Завантажити сертифікат")</f>
        <v>Завантажити сертифікат</v>
      </c>
    </row>
    <row r="3631" spans="1:6" ht="28.8" x14ac:dyDescent="0.3">
      <c r="A3631" s="2">
        <v>3630</v>
      </c>
      <c r="B3631" s="1" t="s">
        <v>7704</v>
      </c>
      <c r="C3631" s="1" t="s">
        <v>7651</v>
      </c>
      <c r="D3631" s="1" t="s">
        <v>7652</v>
      </c>
      <c r="E3631" s="1" t="s">
        <v>7705</v>
      </c>
      <c r="F3631" s="1" t="str">
        <f>HYPERLINK("https://talan.bank.gov.ua/get-user-certificate/J5325RXvlTkgC4s2TLeO","Завантажити сертифікат")</f>
        <v>Завантажити сертифікат</v>
      </c>
    </row>
    <row r="3632" spans="1:6" ht="28.8" x14ac:dyDescent="0.3">
      <c r="A3632" s="2">
        <v>3631</v>
      </c>
      <c r="B3632" s="1" t="s">
        <v>7706</v>
      </c>
      <c r="C3632" s="1" t="s">
        <v>7651</v>
      </c>
      <c r="D3632" s="1" t="s">
        <v>7652</v>
      </c>
      <c r="E3632" s="1" t="s">
        <v>7707</v>
      </c>
      <c r="F3632" s="1" t="str">
        <f>HYPERLINK("https://talan.bank.gov.ua/get-user-certificate/J5325FeW1Gjd5772bJow","Завантажити сертифікат")</f>
        <v>Завантажити сертифікат</v>
      </c>
    </row>
    <row r="3633" spans="1:6" ht="28.8" x14ac:dyDescent="0.3">
      <c r="A3633" s="2">
        <v>3632</v>
      </c>
      <c r="B3633" s="1" t="s">
        <v>7708</v>
      </c>
      <c r="C3633" s="1" t="s">
        <v>7651</v>
      </c>
      <c r="D3633" s="1" t="s">
        <v>7652</v>
      </c>
      <c r="E3633" s="1" t="s">
        <v>7709</v>
      </c>
      <c r="F3633" s="1" t="str">
        <f>HYPERLINK("https://talan.bank.gov.ua/get-user-certificate/J5325FwKcDrZiuV8IG5q","Завантажити сертифікат")</f>
        <v>Завантажити сертифікат</v>
      </c>
    </row>
    <row r="3634" spans="1:6" ht="28.8" x14ac:dyDescent="0.3">
      <c r="A3634" s="2">
        <v>3633</v>
      </c>
      <c r="B3634" s="1" t="s">
        <v>7710</v>
      </c>
      <c r="C3634" s="1" t="s">
        <v>7651</v>
      </c>
      <c r="D3634" s="1" t="s">
        <v>7652</v>
      </c>
      <c r="E3634" s="1" t="s">
        <v>7711</v>
      </c>
      <c r="F3634" s="1" t="str">
        <f>HYPERLINK("https://talan.bank.gov.ua/get-user-certificate/J5325EPCt9GXt9sMsX8I","Завантажити сертифікат")</f>
        <v>Завантажити сертифікат</v>
      </c>
    </row>
    <row r="3635" spans="1:6" ht="28.8" x14ac:dyDescent="0.3">
      <c r="A3635" s="2">
        <v>3634</v>
      </c>
      <c r="B3635" s="1" t="s">
        <v>7712</v>
      </c>
      <c r="C3635" s="1" t="s">
        <v>7651</v>
      </c>
      <c r="D3635" s="1" t="s">
        <v>7652</v>
      </c>
      <c r="E3635" s="1" t="s">
        <v>7713</v>
      </c>
      <c r="F3635" s="1" t="str">
        <f>HYPERLINK("https://talan.bank.gov.ua/get-user-certificate/J5325JHFmeumoDh_xZeV","Завантажити сертифікат")</f>
        <v>Завантажити сертифікат</v>
      </c>
    </row>
    <row r="3636" spans="1:6" ht="28.8" x14ac:dyDescent="0.3">
      <c r="A3636" s="2">
        <v>3635</v>
      </c>
      <c r="B3636" s="1" t="s">
        <v>7714</v>
      </c>
      <c r="C3636" s="1" t="s">
        <v>7651</v>
      </c>
      <c r="D3636" s="1" t="s">
        <v>7652</v>
      </c>
      <c r="E3636" s="1" t="s">
        <v>7715</v>
      </c>
      <c r="F3636" s="1" t="str">
        <f>HYPERLINK("https://talan.bank.gov.ua/get-user-certificate/J5325IETSCXlciMUZAph","Завантажити сертифікат")</f>
        <v>Завантажити сертифікат</v>
      </c>
    </row>
    <row r="3637" spans="1:6" ht="28.8" x14ac:dyDescent="0.3">
      <c r="A3637" s="2">
        <v>3636</v>
      </c>
      <c r="B3637" s="1" t="s">
        <v>7716</v>
      </c>
      <c r="C3637" s="1" t="s">
        <v>7651</v>
      </c>
      <c r="D3637" s="1" t="s">
        <v>7652</v>
      </c>
      <c r="E3637" s="1" t="s">
        <v>7717</v>
      </c>
      <c r="F3637" s="1" t="str">
        <f>HYPERLINK("https://talan.bank.gov.ua/get-user-certificate/J5325i8oeUO3D8KWL6eU","Завантажити сертифікат")</f>
        <v>Завантажити сертифікат</v>
      </c>
    </row>
    <row r="3638" spans="1:6" ht="28.8" x14ac:dyDescent="0.3">
      <c r="A3638" s="2">
        <v>3637</v>
      </c>
      <c r="B3638" s="1" t="s">
        <v>7718</v>
      </c>
      <c r="C3638" s="1" t="s">
        <v>7651</v>
      </c>
      <c r="D3638" s="1" t="s">
        <v>7652</v>
      </c>
      <c r="E3638" s="1" t="s">
        <v>7719</v>
      </c>
      <c r="F3638" s="1" t="str">
        <f>HYPERLINK("https://talan.bank.gov.ua/get-user-certificate/J53256K6Y-E7icd8U7TT","Завантажити сертифікат")</f>
        <v>Завантажити сертифікат</v>
      </c>
    </row>
    <row r="3639" spans="1:6" ht="28.8" x14ac:dyDescent="0.3">
      <c r="A3639" s="2">
        <v>3638</v>
      </c>
      <c r="B3639" s="1" t="s">
        <v>7720</v>
      </c>
      <c r="C3639" s="1" t="s">
        <v>7651</v>
      </c>
      <c r="D3639" s="1" t="s">
        <v>7652</v>
      </c>
      <c r="E3639" s="1" t="s">
        <v>7721</v>
      </c>
      <c r="F3639" s="1" t="str">
        <f>HYPERLINK("https://talan.bank.gov.ua/get-user-certificate/J5325Jx19W3Y9pi8j7XX","Завантажити сертифікат")</f>
        <v>Завантажити сертифікат</v>
      </c>
    </row>
    <row r="3640" spans="1:6" ht="28.8" x14ac:dyDescent="0.3">
      <c r="A3640" s="2">
        <v>3639</v>
      </c>
      <c r="B3640" s="1" t="s">
        <v>7722</v>
      </c>
      <c r="C3640" s="1" t="s">
        <v>7651</v>
      </c>
      <c r="D3640" s="1" t="s">
        <v>7652</v>
      </c>
      <c r="E3640" s="1" t="s">
        <v>7723</v>
      </c>
      <c r="F3640" s="1" t="str">
        <f>HYPERLINK("https://talan.bank.gov.ua/get-user-certificate/J5325DINMtOtGzpqHFQl","Завантажити сертифікат")</f>
        <v>Завантажити сертифікат</v>
      </c>
    </row>
    <row r="3641" spans="1:6" ht="28.8" x14ac:dyDescent="0.3">
      <c r="A3641" s="2">
        <v>3640</v>
      </c>
      <c r="B3641" s="1" t="s">
        <v>7724</v>
      </c>
      <c r="C3641" s="1" t="s">
        <v>7651</v>
      </c>
      <c r="D3641" s="1" t="s">
        <v>7652</v>
      </c>
      <c r="E3641" s="1" t="s">
        <v>7725</v>
      </c>
      <c r="F3641" s="1" t="str">
        <f>HYPERLINK("https://talan.bank.gov.ua/get-user-certificate/J53251cGyH3MuyoG3dls","Завантажити сертифікат")</f>
        <v>Завантажити сертифікат</v>
      </c>
    </row>
    <row r="3642" spans="1:6" ht="28.8" x14ac:dyDescent="0.3">
      <c r="A3642" s="2">
        <v>3641</v>
      </c>
      <c r="B3642" s="1" t="s">
        <v>7726</v>
      </c>
      <c r="C3642" s="1" t="s">
        <v>7651</v>
      </c>
      <c r="D3642" s="1" t="s">
        <v>7652</v>
      </c>
      <c r="E3642" s="1" t="s">
        <v>7727</v>
      </c>
      <c r="F3642" s="1" t="str">
        <f>HYPERLINK("https://talan.bank.gov.ua/get-user-certificate/J5325RuTSA7W5rWAlL4b","Завантажити сертифікат")</f>
        <v>Завантажити сертифікат</v>
      </c>
    </row>
    <row r="3643" spans="1:6" ht="28.8" x14ac:dyDescent="0.3">
      <c r="A3643" s="2">
        <v>3642</v>
      </c>
      <c r="B3643" s="1" t="s">
        <v>7728</v>
      </c>
      <c r="C3643" s="1" t="s">
        <v>7651</v>
      </c>
      <c r="D3643" s="1" t="s">
        <v>7652</v>
      </c>
      <c r="E3643" s="1" t="s">
        <v>7729</v>
      </c>
      <c r="F3643" s="1" t="str">
        <f>HYPERLINK("https://talan.bank.gov.ua/get-user-certificate/J5325cl7aX54VqVgUfiX","Завантажити сертифікат")</f>
        <v>Завантажити сертифікат</v>
      </c>
    </row>
    <row r="3644" spans="1:6" ht="28.8" x14ac:dyDescent="0.3">
      <c r="A3644" s="2">
        <v>3643</v>
      </c>
      <c r="B3644" s="1" t="s">
        <v>7730</v>
      </c>
      <c r="C3644" s="1" t="s">
        <v>7651</v>
      </c>
      <c r="D3644" s="1" t="s">
        <v>7652</v>
      </c>
      <c r="E3644" s="1" t="s">
        <v>7731</v>
      </c>
      <c r="F3644" s="1" t="str">
        <f>HYPERLINK("https://talan.bank.gov.ua/get-user-certificate/J5325n6_Rtiln1RCH7XV","Завантажити сертифікат")</f>
        <v>Завантажити сертифікат</v>
      </c>
    </row>
    <row r="3645" spans="1:6" ht="28.8" x14ac:dyDescent="0.3">
      <c r="A3645" s="2">
        <v>3644</v>
      </c>
      <c r="B3645" s="1" t="s">
        <v>7732</v>
      </c>
      <c r="C3645" s="1" t="s">
        <v>7651</v>
      </c>
      <c r="D3645" s="1" t="s">
        <v>7652</v>
      </c>
      <c r="E3645" s="1" t="s">
        <v>7733</v>
      </c>
      <c r="F3645" s="1" t="str">
        <f>HYPERLINK("https://talan.bank.gov.ua/get-user-certificate/J5325FvwlsIb1HHpWZ46","Завантажити сертифікат")</f>
        <v>Завантажити сертифікат</v>
      </c>
    </row>
    <row r="3646" spans="1:6" ht="28.8" x14ac:dyDescent="0.3">
      <c r="A3646" s="2">
        <v>3645</v>
      </c>
      <c r="B3646" s="1" t="s">
        <v>7734</v>
      </c>
      <c r="C3646" s="1" t="s">
        <v>7651</v>
      </c>
      <c r="D3646" s="1" t="s">
        <v>7652</v>
      </c>
      <c r="E3646" s="1" t="s">
        <v>7735</v>
      </c>
      <c r="F3646" s="1" t="str">
        <f>HYPERLINK("https://talan.bank.gov.ua/get-user-certificate/J5325RwWpmz7uwIY4Lgg","Завантажити сертифікат")</f>
        <v>Завантажити сертифікат</v>
      </c>
    </row>
    <row r="3647" spans="1:6" ht="28.8" x14ac:dyDescent="0.3">
      <c r="A3647" s="2">
        <v>3646</v>
      </c>
      <c r="B3647" s="1" t="s">
        <v>7736</v>
      </c>
      <c r="C3647" s="1" t="s">
        <v>7651</v>
      </c>
      <c r="D3647" s="1" t="s">
        <v>7652</v>
      </c>
      <c r="E3647" s="1" t="s">
        <v>7737</v>
      </c>
      <c r="F3647" s="1" t="str">
        <f>HYPERLINK("https://talan.bank.gov.ua/get-user-certificate/J5325VxbWN5h35m7PHki","Завантажити сертифікат")</f>
        <v>Завантажити сертифікат</v>
      </c>
    </row>
    <row r="3648" spans="1:6" ht="28.8" x14ac:dyDescent="0.3">
      <c r="A3648" s="2">
        <v>3647</v>
      </c>
      <c r="B3648" s="1" t="s">
        <v>7738</v>
      </c>
      <c r="C3648" s="1" t="s">
        <v>7651</v>
      </c>
      <c r="D3648" s="1" t="s">
        <v>7652</v>
      </c>
      <c r="E3648" s="1" t="s">
        <v>7739</v>
      </c>
      <c r="F3648" s="1" t="str">
        <f>HYPERLINK("https://talan.bank.gov.ua/get-user-certificate/J5325PdqHQ2slt70xMKR","Завантажити сертифікат")</f>
        <v>Завантажити сертифікат</v>
      </c>
    </row>
    <row r="3649" spans="1:6" ht="28.8" x14ac:dyDescent="0.3">
      <c r="A3649" s="2">
        <v>3648</v>
      </c>
      <c r="B3649" s="1" t="s">
        <v>7740</v>
      </c>
      <c r="C3649" s="1" t="s">
        <v>7651</v>
      </c>
      <c r="D3649" s="1" t="s">
        <v>7652</v>
      </c>
      <c r="E3649" s="1" t="s">
        <v>7741</v>
      </c>
      <c r="F3649" s="1" t="str">
        <f>HYPERLINK("https://talan.bank.gov.ua/get-user-certificate/J5325HzXknB3_-FH-uzm","Завантажити сертифікат")</f>
        <v>Завантажити сертифікат</v>
      </c>
    </row>
    <row r="3650" spans="1:6" ht="28.8" x14ac:dyDescent="0.3">
      <c r="A3650" s="2">
        <v>3649</v>
      </c>
      <c r="B3650" s="1" t="s">
        <v>7742</v>
      </c>
      <c r="C3650" s="1" t="s">
        <v>7651</v>
      </c>
      <c r="D3650" s="1" t="s">
        <v>7652</v>
      </c>
      <c r="E3650" s="1" t="s">
        <v>7743</v>
      </c>
      <c r="F3650" s="1" t="str">
        <f>HYPERLINK("https://talan.bank.gov.ua/get-user-certificate/J5325EO7yg3QgnoqGVT4","Завантажити сертифікат")</f>
        <v>Завантажити сертифікат</v>
      </c>
    </row>
    <row r="3651" spans="1:6" ht="28.8" x14ac:dyDescent="0.3">
      <c r="A3651" s="2">
        <v>3650</v>
      </c>
      <c r="B3651" s="1" t="s">
        <v>7744</v>
      </c>
      <c r="C3651" s="1" t="s">
        <v>7651</v>
      </c>
      <c r="D3651" s="1" t="s">
        <v>7652</v>
      </c>
      <c r="E3651" s="1" t="s">
        <v>7745</v>
      </c>
      <c r="F3651" s="1" t="str">
        <f>HYPERLINK("https://talan.bank.gov.ua/get-user-certificate/J5325QjYeqMuzrx_fC7A","Завантажити сертифікат")</f>
        <v>Завантажити сертифікат</v>
      </c>
    </row>
    <row r="3652" spans="1:6" ht="28.8" x14ac:dyDescent="0.3">
      <c r="A3652" s="2">
        <v>3651</v>
      </c>
      <c r="B3652" s="1" t="s">
        <v>7746</v>
      </c>
      <c r="C3652" s="1" t="s">
        <v>7651</v>
      </c>
      <c r="D3652" s="1" t="s">
        <v>7652</v>
      </c>
      <c r="E3652" s="1" t="s">
        <v>7747</v>
      </c>
      <c r="F3652" s="1" t="str">
        <f>HYPERLINK("https://talan.bank.gov.ua/get-user-certificate/J53251tH8vrkLToDph1-","Завантажити сертифікат")</f>
        <v>Завантажити сертифікат</v>
      </c>
    </row>
    <row r="3653" spans="1:6" ht="28.8" x14ac:dyDescent="0.3">
      <c r="A3653" s="2">
        <v>3652</v>
      </c>
      <c r="B3653" s="1" t="s">
        <v>7748</v>
      </c>
      <c r="C3653" s="1" t="s">
        <v>7651</v>
      </c>
      <c r="D3653" s="1" t="s">
        <v>7652</v>
      </c>
      <c r="E3653" s="1" t="s">
        <v>7749</v>
      </c>
      <c r="F3653" s="1" t="str">
        <f>HYPERLINK("https://talan.bank.gov.ua/get-user-certificate/J53250a0Xp8-0AiLY6Cu","Завантажити сертифікат")</f>
        <v>Завантажити сертифікат</v>
      </c>
    </row>
    <row r="3654" spans="1:6" ht="28.8" x14ac:dyDescent="0.3">
      <c r="A3654" s="2">
        <v>3653</v>
      </c>
      <c r="B3654" s="1" t="s">
        <v>7750</v>
      </c>
      <c r="C3654" s="1" t="s">
        <v>7651</v>
      </c>
      <c r="D3654" s="1" t="s">
        <v>7652</v>
      </c>
      <c r="E3654" s="1" t="s">
        <v>7751</v>
      </c>
      <c r="F3654" s="1" t="str">
        <f>HYPERLINK("https://talan.bank.gov.ua/get-user-certificate/J5325DhIpq4J12L9Hrkf","Завантажити сертифікат")</f>
        <v>Завантажити сертифікат</v>
      </c>
    </row>
    <row r="3655" spans="1:6" ht="28.8" x14ac:dyDescent="0.3">
      <c r="A3655" s="2">
        <v>3654</v>
      </c>
      <c r="B3655" s="1" t="s">
        <v>7752</v>
      </c>
      <c r="C3655" s="1" t="s">
        <v>7753</v>
      </c>
      <c r="D3655" s="1" t="s">
        <v>7754</v>
      </c>
      <c r="E3655" s="1" t="s">
        <v>6431</v>
      </c>
      <c r="F3655" s="1" t="str">
        <f>HYPERLINK("https://talan.bank.gov.ua/get-user-certificate/J5325UMDJ0Guyv5A02xb","Завантажити сертифікат")</f>
        <v>Завантажити сертифікат</v>
      </c>
    </row>
    <row r="3656" spans="1:6" ht="28.8" x14ac:dyDescent="0.3">
      <c r="A3656" s="2">
        <v>3655</v>
      </c>
      <c r="B3656" s="1" t="s">
        <v>7755</v>
      </c>
      <c r="C3656" s="1" t="s">
        <v>7753</v>
      </c>
      <c r="D3656" s="1" t="s">
        <v>7754</v>
      </c>
      <c r="E3656" s="1" t="s">
        <v>6433</v>
      </c>
      <c r="F3656" s="1" t="str">
        <f>HYPERLINK("https://talan.bank.gov.ua/get-user-certificate/J5325Zh6DN_QPlaxA29u","Завантажити сертифікат")</f>
        <v>Завантажити сертифікат</v>
      </c>
    </row>
    <row r="3657" spans="1:6" ht="28.8" x14ac:dyDescent="0.3">
      <c r="A3657" s="2">
        <v>3656</v>
      </c>
      <c r="B3657" s="1" t="s">
        <v>7756</v>
      </c>
      <c r="C3657" s="1" t="s">
        <v>7753</v>
      </c>
      <c r="D3657" s="1" t="s">
        <v>7754</v>
      </c>
      <c r="E3657" s="1" t="s">
        <v>6435</v>
      </c>
      <c r="F3657" s="1" t="str">
        <f>HYPERLINK("https://talan.bank.gov.ua/get-user-certificate/J5325M1nAXFHkPE_WEUI","Завантажити сертифікат")</f>
        <v>Завантажити сертифікат</v>
      </c>
    </row>
    <row r="3658" spans="1:6" ht="28.8" x14ac:dyDescent="0.3">
      <c r="A3658" s="2">
        <v>3657</v>
      </c>
      <c r="B3658" s="1" t="s">
        <v>7757</v>
      </c>
      <c r="C3658" s="1" t="s">
        <v>7753</v>
      </c>
      <c r="D3658" s="1" t="s">
        <v>7754</v>
      </c>
      <c r="E3658" s="1" t="s">
        <v>6437</v>
      </c>
      <c r="F3658" s="1" t="str">
        <f>HYPERLINK("https://talan.bank.gov.ua/get-user-certificate/J5325iXsezP5LTEF7pec","Завантажити сертифікат")</f>
        <v>Завантажити сертифікат</v>
      </c>
    </row>
    <row r="3659" spans="1:6" ht="28.8" x14ac:dyDescent="0.3">
      <c r="A3659" s="2">
        <v>3658</v>
      </c>
      <c r="B3659" s="1" t="s">
        <v>7758</v>
      </c>
      <c r="C3659" s="1" t="s">
        <v>7753</v>
      </c>
      <c r="D3659" s="1" t="s">
        <v>7754</v>
      </c>
      <c r="E3659" s="1" t="s">
        <v>6439</v>
      </c>
      <c r="F3659" s="1" t="str">
        <f>HYPERLINK("https://talan.bank.gov.ua/get-user-certificate/J5325zaW06F9-MU7AJt0","Завантажити сертифікат")</f>
        <v>Завантажити сертифікат</v>
      </c>
    </row>
    <row r="3660" spans="1:6" ht="28.8" x14ac:dyDescent="0.3">
      <c r="A3660" s="2">
        <v>3659</v>
      </c>
      <c r="B3660" s="1" t="s">
        <v>7759</v>
      </c>
      <c r="C3660" s="1" t="s">
        <v>7760</v>
      </c>
      <c r="D3660" s="1" t="s">
        <v>7761</v>
      </c>
      <c r="E3660" s="1" t="s">
        <v>7762</v>
      </c>
      <c r="F3660" s="1" t="str">
        <f>HYPERLINK("https://talan.bank.gov.ua/get-user-certificate/J5325saTNBpUDuH5nnw2","Завантажити сертифікат")</f>
        <v>Завантажити сертифікат</v>
      </c>
    </row>
    <row r="3661" spans="1:6" ht="28.8" x14ac:dyDescent="0.3">
      <c r="A3661" s="2">
        <v>3660</v>
      </c>
      <c r="B3661" s="1" t="s">
        <v>7763</v>
      </c>
      <c r="C3661" s="1" t="s">
        <v>7760</v>
      </c>
      <c r="D3661" s="1" t="s">
        <v>7761</v>
      </c>
      <c r="E3661" s="1" t="s">
        <v>7764</v>
      </c>
      <c r="F3661" s="1" t="str">
        <f>HYPERLINK("https://talan.bank.gov.ua/get-user-certificate/J5325iPLGVvRoXbTnrzy","Завантажити сертифікат")</f>
        <v>Завантажити сертифікат</v>
      </c>
    </row>
    <row r="3662" spans="1:6" ht="28.8" x14ac:dyDescent="0.3">
      <c r="A3662" s="2">
        <v>3661</v>
      </c>
      <c r="B3662" s="1" t="s">
        <v>7765</v>
      </c>
      <c r="C3662" s="1" t="s">
        <v>7760</v>
      </c>
      <c r="D3662" s="1" t="s">
        <v>7761</v>
      </c>
      <c r="E3662" s="1" t="s">
        <v>7766</v>
      </c>
      <c r="F3662" s="1" t="str">
        <f>HYPERLINK("https://talan.bank.gov.ua/get-user-certificate/J5325uamsGx9NMLFNeWp","Завантажити сертифікат")</f>
        <v>Завантажити сертифікат</v>
      </c>
    </row>
    <row r="3663" spans="1:6" ht="28.8" x14ac:dyDescent="0.3">
      <c r="A3663" s="2">
        <v>3662</v>
      </c>
      <c r="B3663" s="1" t="s">
        <v>7767</v>
      </c>
      <c r="C3663" s="1" t="s">
        <v>7760</v>
      </c>
      <c r="D3663" s="1" t="s">
        <v>7761</v>
      </c>
      <c r="E3663" s="1" t="s">
        <v>7768</v>
      </c>
      <c r="F3663" s="1" t="str">
        <f>HYPERLINK("https://talan.bank.gov.ua/get-user-certificate/J5325qmUIW81tt2fECB1","Завантажити сертифікат")</f>
        <v>Завантажити сертифікат</v>
      </c>
    </row>
    <row r="3664" spans="1:6" ht="28.8" x14ac:dyDescent="0.3">
      <c r="A3664" s="2">
        <v>3663</v>
      </c>
      <c r="B3664" s="1" t="s">
        <v>7769</v>
      </c>
      <c r="C3664" s="1" t="s">
        <v>7760</v>
      </c>
      <c r="D3664" s="1" t="s">
        <v>7761</v>
      </c>
      <c r="E3664" s="1" t="s">
        <v>7770</v>
      </c>
      <c r="F3664" s="1" t="str">
        <f>HYPERLINK("https://talan.bank.gov.ua/get-user-certificate/J5325R2BsZzLqPDwa2vh","Завантажити сертифікат")</f>
        <v>Завантажити сертифікат</v>
      </c>
    </row>
    <row r="3665" spans="1:6" ht="28.8" x14ac:dyDescent="0.3">
      <c r="A3665" s="2">
        <v>3664</v>
      </c>
      <c r="B3665" s="1" t="s">
        <v>7771</v>
      </c>
      <c r="C3665" s="1" t="s">
        <v>7760</v>
      </c>
      <c r="D3665" s="1" t="s">
        <v>7761</v>
      </c>
      <c r="E3665" s="1" t="s">
        <v>7772</v>
      </c>
      <c r="F3665" s="1" t="str">
        <f>HYPERLINK("https://talan.bank.gov.ua/get-user-certificate/J5325W3rVt85NsgX8VFg","Завантажити сертифікат")</f>
        <v>Завантажити сертифікат</v>
      </c>
    </row>
    <row r="3666" spans="1:6" ht="28.8" x14ac:dyDescent="0.3">
      <c r="A3666" s="2">
        <v>3665</v>
      </c>
      <c r="B3666" s="1" t="s">
        <v>7773</v>
      </c>
      <c r="C3666" s="1" t="s">
        <v>7760</v>
      </c>
      <c r="D3666" s="1" t="s">
        <v>7761</v>
      </c>
      <c r="E3666" s="1" t="s">
        <v>7774</v>
      </c>
      <c r="F3666" s="1" t="str">
        <f>HYPERLINK("https://talan.bank.gov.ua/get-user-certificate/J5325lM0IzXSTzZQvtNu","Завантажити сертифікат")</f>
        <v>Завантажити сертифікат</v>
      </c>
    </row>
    <row r="3667" spans="1:6" ht="28.8" x14ac:dyDescent="0.3">
      <c r="A3667" s="2">
        <v>3666</v>
      </c>
      <c r="B3667" s="1" t="s">
        <v>7775</v>
      </c>
      <c r="C3667" s="1" t="s">
        <v>7760</v>
      </c>
      <c r="D3667" s="1" t="s">
        <v>7761</v>
      </c>
      <c r="E3667" s="1" t="s">
        <v>7776</v>
      </c>
      <c r="F3667" s="1" t="str">
        <f>HYPERLINK("https://talan.bank.gov.ua/get-user-certificate/J5325gVD51iUPjtdD5NK","Завантажити сертифікат")</f>
        <v>Завантажити сертифікат</v>
      </c>
    </row>
    <row r="3668" spans="1:6" ht="28.8" x14ac:dyDescent="0.3">
      <c r="A3668" s="2">
        <v>3667</v>
      </c>
      <c r="B3668" s="1" t="s">
        <v>7777</v>
      </c>
      <c r="C3668" s="1" t="s">
        <v>7760</v>
      </c>
      <c r="D3668" s="1" t="s">
        <v>7761</v>
      </c>
      <c r="E3668" s="1" t="s">
        <v>7778</v>
      </c>
      <c r="F3668" s="1" t="str">
        <f>HYPERLINK("https://talan.bank.gov.ua/get-user-certificate/J5325e_wtK2QzouHSSD1","Завантажити сертифікат")</f>
        <v>Завантажити сертифікат</v>
      </c>
    </row>
    <row r="3669" spans="1:6" ht="28.8" x14ac:dyDescent="0.3">
      <c r="A3669" s="2">
        <v>3668</v>
      </c>
      <c r="B3669" s="1" t="s">
        <v>7779</v>
      </c>
      <c r="C3669" s="1" t="s">
        <v>7760</v>
      </c>
      <c r="D3669" s="1" t="s">
        <v>7761</v>
      </c>
      <c r="E3669" s="1" t="s">
        <v>7780</v>
      </c>
      <c r="F3669" s="1" t="str">
        <f>HYPERLINK("https://talan.bank.gov.ua/get-user-certificate/J5325PZzYSizH5orVYFK","Завантажити сертифікат")</f>
        <v>Завантажити сертифікат</v>
      </c>
    </row>
    <row r="3670" spans="1:6" ht="28.8" x14ac:dyDescent="0.3">
      <c r="A3670" s="2">
        <v>3669</v>
      </c>
      <c r="B3670" s="1" t="s">
        <v>7781</v>
      </c>
      <c r="C3670" s="1" t="s">
        <v>7760</v>
      </c>
      <c r="D3670" s="1" t="s">
        <v>7761</v>
      </c>
      <c r="E3670" s="1" t="s">
        <v>7782</v>
      </c>
      <c r="F3670" s="1" t="str">
        <f>HYPERLINK("https://talan.bank.gov.ua/get-user-certificate/J5325g8CSZAKV7LbgqKW","Завантажити сертифікат")</f>
        <v>Завантажити сертифікат</v>
      </c>
    </row>
    <row r="3671" spans="1:6" ht="28.8" x14ac:dyDescent="0.3">
      <c r="A3671" s="2">
        <v>3670</v>
      </c>
      <c r="B3671" s="1" t="s">
        <v>7783</v>
      </c>
      <c r="C3671" s="1" t="s">
        <v>7760</v>
      </c>
      <c r="D3671" s="1" t="s">
        <v>7761</v>
      </c>
      <c r="E3671" s="1" t="s">
        <v>7784</v>
      </c>
      <c r="F3671" s="1" t="str">
        <f>HYPERLINK("https://talan.bank.gov.ua/get-user-certificate/J5325JbFR-57exOR3s_h","Завантажити сертифікат")</f>
        <v>Завантажити сертифікат</v>
      </c>
    </row>
    <row r="3672" spans="1:6" ht="28.8" x14ac:dyDescent="0.3">
      <c r="A3672" s="2">
        <v>3671</v>
      </c>
      <c r="B3672" s="1" t="s">
        <v>7785</v>
      </c>
      <c r="C3672" s="1" t="s">
        <v>7760</v>
      </c>
      <c r="D3672" s="1" t="s">
        <v>7761</v>
      </c>
      <c r="E3672" s="1" t="s">
        <v>7786</v>
      </c>
      <c r="F3672" s="1" t="str">
        <f>HYPERLINK("https://talan.bank.gov.ua/get-user-certificate/J5325mc06-wdvO-vnkD1","Завантажити сертифікат")</f>
        <v>Завантажити сертифікат</v>
      </c>
    </row>
    <row r="3673" spans="1:6" ht="28.8" x14ac:dyDescent="0.3">
      <c r="A3673" s="2">
        <v>3672</v>
      </c>
      <c r="B3673" s="1" t="s">
        <v>7787</v>
      </c>
      <c r="C3673" s="1" t="s">
        <v>7760</v>
      </c>
      <c r="D3673" s="1" t="s">
        <v>7761</v>
      </c>
      <c r="E3673" s="1" t="s">
        <v>7788</v>
      </c>
      <c r="F3673" s="1" t="str">
        <f>HYPERLINK("https://talan.bank.gov.ua/get-user-certificate/J5325OLzzabDU2GDC6gi","Завантажити сертифікат")</f>
        <v>Завантажити сертифікат</v>
      </c>
    </row>
    <row r="3674" spans="1:6" ht="28.8" x14ac:dyDescent="0.3">
      <c r="A3674" s="2">
        <v>3673</v>
      </c>
      <c r="B3674" s="1" t="s">
        <v>7789</v>
      </c>
      <c r="C3674" s="1" t="s">
        <v>7790</v>
      </c>
      <c r="D3674" s="1" t="s">
        <v>7791</v>
      </c>
      <c r="E3674" s="1" t="s">
        <v>7792</v>
      </c>
      <c r="F3674" s="1" t="str">
        <f>HYPERLINK("https://talan.bank.gov.ua/get-user-certificate/J5325W-aEp9Jtys43ILS","Завантажити сертифікат")</f>
        <v>Завантажити сертифікат</v>
      </c>
    </row>
    <row r="3675" spans="1:6" ht="28.8" x14ac:dyDescent="0.3">
      <c r="A3675" s="2">
        <v>3674</v>
      </c>
      <c r="B3675" s="1" t="s">
        <v>7793</v>
      </c>
      <c r="C3675" s="1" t="s">
        <v>7790</v>
      </c>
      <c r="D3675" s="1" t="s">
        <v>7791</v>
      </c>
      <c r="E3675" s="1" t="s">
        <v>7794</v>
      </c>
      <c r="F3675" s="1" t="str">
        <f>HYPERLINK("https://talan.bank.gov.ua/get-user-certificate/J5325yjecl5voQmWyiZa","Завантажити сертифікат")</f>
        <v>Завантажити сертифікат</v>
      </c>
    </row>
    <row r="3676" spans="1:6" ht="43.2" x14ac:dyDescent="0.3">
      <c r="A3676" s="2">
        <v>3675</v>
      </c>
      <c r="B3676" s="1" t="s">
        <v>7795</v>
      </c>
      <c r="C3676" s="1" t="s">
        <v>7796</v>
      </c>
      <c r="D3676" s="1" t="s">
        <v>7797</v>
      </c>
      <c r="E3676" s="1" t="s">
        <v>7798</v>
      </c>
      <c r="F3676" s="1" t="str">
        <f>HYPERLINK("https://talan.bank.gov.ua/get-user-certificate/J53253DK8dTRnmjszQ-l","Завантажити сертифікат")</f>
        <v>Завантажити сертифікат</v>
      </c>
    </row>
    <row r="3677" spans="1:6" ht="43.2" x14ac:dyDescent="0.3">
      <c r="A3677" s="2">
        <v>3676</v>
      </c>
      <c r="B3677" s="1" t="s">
        <v>7799</v>
      </c>
      <c r="C3677" s="1" t="s">
        <v>7800</v>
      </c>
      <c r="D3677" s="1" t="s">
        <v>7801</v>
      </c>
      <c r="E3677" s="1" t="s">
        <v>7802</v>
      </c>
      <c r="F3677" s="1" t="str">
        <f>HYPERLINK("https://talan.bank.gov.ua/get-user-certificate/J5325nXaqLnwn2jACS1u","Завантажити сертифікат")</f>
        <v>Завантажити сертифікат</v>
      </c>
    </row>
    <row r="3678" spans="1:6" ht="43.2" x14ac:dyDescent="0.3">
      <c r="A3678" s="2">
        <v>3677</v>
      </c>
      <c r="B3678" s="1" t="s">
        <v>7803</v>
      </c>
      <c r="C3678" s="1" t="s">
        <v>7800</v>
      </c>
      <c r="D3678" s="1" t="s">
        <v>7801</v>
      </c>
      <c r="E3678" s="1" t="s">
        <v>7804</v>
      </c>
      <c r="F3678" s="1" t="str">
        <f>HYPERLINK("https://talan.bank.gov.ua/get-user-certificate/J53254tAiLU1UdSG8R_r","Завантажити сертифікат")</f>
        <v>Завантажити сертифікат</v>
      </c>
    </row>
    <row r="3679" spans="1:6" ht="28.8" x14ac:dyDescent="0.3">
      <c r="A3679" s="2">
        <v>3678</v>
      </c>
      <c r="B3679" s="1" t="s">
        <v>7805</v>
      </c>
      <c r="C3679" s="1" t="s">
        <v>7806</v>
      </c>
      <c r="D3679" s="1" t="s">
        <v>7807</v>
      </c>
      <c r="E3679" s="1" t="s">
        <v>7808</v>
      </c>
      <c r="F3679" s="1" t="str">
        <f>HYPERLINK("https://talan.bank.gov.ua/get-user-certificate/J5325vq8IgEahhhqQy6L","Завантажити сертифікат")</f>
        <v>Завантажити сертифікат</v>
      </c>
    </row>
    <row r="3680" spans="1:6" ht="28.8" x14ac:dyDescent="0.3">
      <c r="A3680" s="2">
        <v>3679</v>
      </c>
      <c r="B3680" s="1" t="s">
        <v>7809</v>
      </c>
      <c r="C3680" s="1" t="s">
        <v>7806</v>
      </c>
      <c r="D3680" s="1" t="s">
        <v>7807</v>
      </c>
      <c r="E3680" s="1" t="s">
        <v>7810</v>
      </c>
      <c r="F3680" s="1" t="str">
        <f>HYPERLINK("https://talan.bank.gov.ua/get-user-certificate/J5325tuFArBCPlM_Lsdf","Завантажити сертифікат")</f>
        <v>Завантажити сертифікат</v>
      </c>
    </row>
    <row r="3681" spans="1:6" ht="28.8" x14ac:dyDescent="0.3">
      <c r="A3681" s="2">
        <v>3680</v>
      </c>
      <c r="B3681" s="1" t="s">
        <v>7811</v>
      </c>
      <c r="C3681" s="1" t="s">
        <v>7806</v>
      </c>
      <c r="D3681" s="1" t="s">
        <v>7807</v>
      </c>
      <c r="E3681" s="1" t="s">
        <v>7812</v>
      </c>
      <c r="F3681" s="1" t="str">
        <f>HYPERLINK("https://talan.bank.gov.ua/get-user-certificate/J5325nDuvg-28tHYmnHP","Завантажити сертифікат")</f>
        <v>Завантажити сертифікат</v>
      </c>
    </row>
    <row r="3682" spans="1:6" ht="28.8" x14ac:dyDescent="0.3">
      <c r="A3682" s="2">
        <v>3681</v>
      </c>
      <c r="B3682" s="1" t="s">
        <v>7813</v>
      </c>
      <c r="C3682" s="1" t="s">
        <v>7806</v>
      </c>
      <c r="D3682" s="1" t="s">
        <v>7807</v>
      </c>
      <c r="E3682" s="1" t="s">
        <v>7814</v>
      </c>
      <c r="F3682" s="1" t="str">
        <f>HYPERLINK("https://talan.bank.gov.ua/get-user-certificate/J5325STuQzflDf_PMDLw","Завантажити сертифікат")</f>
        <v>Завантажити сертифікат</v>
      </c>
    </row>
    <row r="3683" spans="1:6" ht="28.8" x14ac:dyDescent="0.3">
      <c r="A3683" s="2">
        <v>3682</v>
      </c>
      <c r="B3683" s="1" t="s">
        <v>7815</v>
      </c>
      <c r="C3683" s="1" t="s">
        <v>7806</v>
      </c>
      <c r="D3683" s="1" t="s">
        <v>7807</v>
      </c>
      <c r="E3683" s="1" t="s">
        <v>7816</v>
      </c>
      <c r="F3683" s="1" t="str">
        <f>HYPERLINK("https://talan.bank.gov.ua/get-user-certificate/J5325CJy6UzVUjD4Wx_a","Завантажити сертифікат")</f>
        <v>Завантажити сертифікат</v>
      </c>
    </row>
    <row r="3684" spans="1:6" ht="28.8" x14ac:dyDescent="0.3">
      <c r="A3684" s="2">
        <v>3683</v>
      </c>
      <c r="B3684" s="1" t="s">
        <v>7817</v>
      </c>
      <c r="C3684" s="1" t="s">
        <v>7806</v>
      </c>
      <c r="D3684" s="1" t="s">
        <v>7807</v>
      </c>
      <c r="E3684" s="1" t="s">
        <v>7818</v>
      </c>
      <c r="F3684" s="1" t="str">
        <f>HYPERLINK("https://talan.bank.gov.ua/get-user-certificate/J5325VkYfiTBXGd5Yla0","Завантажити сертифікат")</f>
        <v>Завантажити сертифікат</v>
      </c>
    </row>
    <row r="3685" spans="1:6" ht="28.8" x14ac:dyDescent="0.3">
      <c r="A3685" s="2">
        <v>3684</v>
      </c>
      <c r="B3685" s="1" t="s">
        <v>7819</v>
      </c>
      <c r="C3685" s="1" t="s">
        <v>7806</v>
      </c>
      <c r="D3685" s="1" t="s">
        <v>7807</v>
      </c>
      <c r="E3685" s="1" t="s">
        <v>7820</v>
      </c>
      <c r="F3685" s="1" t="str">
        <f>HYPERLINK("https://talan.bank.gov.ua/get-user-certificate/J5325YadTSxemZpvE7YO","Завантажити сертифікат")</f>
        <v>Завантажити сертифікат</v>
      </c>
    </row>
    <row r="3686" spans="1:6" x14ac:dyDescent="0.3">
      <c r="A3686" s="2">
        <v>3685</v>
      </c>
      <c r="B3686" s="1" t="s">
        <v>7821</v>
      </c>
      <c r="C3686" s="1" t="s">
        <v>7822</v>
      </c>
      <c r="D3686" s="1" t="s">
        <v>7823</v>
      </c>
      <c r="E3686" s="1" t="s">
        <v>7824</v>
      </c>
      <c r="F3686" s="1" t="str">
        <f>HYPERLINK("https://talan.bank.gov.ua/get-user-certificate/J5325wtK3FQkUCzbhSQ0","Завантажити сертифікат")</f>
        <v>Завантажити сертифікат</v>
      </c>
    </row>
    <row r="3687" spans="1:6" x14ac:dyDescent="0.3">
      <c r="A3687" s="2">
        <v>3686</v>
      </c>
      <c r="B3687" s="1" t="s">
        <v>7825</v>
      </c>
      <c r="C3687" s="1" t="s">
        <v>7822</v>
      </c>
      <c r="D3687" s="1" t="s">
        <v>7823</v>
      </c>
      <c r="E3687" s="1" t="s">
        <v>7826</v>
      </c>
      <c r="F3687" s="1" t="str">
        <f>HYPERLINK("https://talan.bank.gov.ua/get-user-certificate/J5325_YZQKwdbMak93eY","Завантажити сертифікат")</f>
        <v>Завантажити сертифікат</v>
      </c>
    </row>
    <row r="3688" spans="1:6" x14ac:dyDescent="0.3">
      <c r="A3688" s="2">
        <v>3687</v>
      </c>
      <c r="B3688" s="1" t="s">
        <v>7827</v>
      </c>
      <c r="C3688" s="1" t="s">
        <v>7822</v>
      </c>
      <c r="D3688" s="1" t="s">
        <v>7823</v>
      </c>
      <c r="E3688" s="1" t="s">
        <v>7828</v>
      </c>
      <c r="F3688" s="1" t="str">
        <f>HYPERLINK("https://talan.bank.gov.ua/get-user-certificate/J5325LRcpca-S4yOjJ7H","Завантажити сертифікат")</f>
        <v>Завантажити сертифікат</v>
      </c>
    </row>
    <row r="3689" spans="1:6" x14ac:dyDescent="0.3">
      <c r="A3689" s="2">
        <v>3688</v>
      </c>
      <c r="B3689" s="1" t="s">
        <v>7829</v>
      </c>
      <c r="C3689" s="1" t="s">
        <v>7822</v>
      </c>
      <c r="D3689" s="1" t="s">
        <v>7823</v>
      </c>
      <c r="E3689" s="1" t="s">
        <v>7830</v>
      </c>
      <c r="F3689" s="1" t="str">
        <f>HYPERLINK("https://talan.bank.gov.ua/get-user-certificate/J5325QWuqXn9CaRu09D7","Завантажити сертифікат")</f>
        <v>Завантажити сертифікат</v>
      </c>
    </row>
    <row r="3690" spans="1:6" ht="57.6" x14ac:dyDescent="0.3">
      <c r="A3690" s="2">
        <v>3689</v>
      </c>
      <c r="B3690" s="1" t="s">
        <v>7831</v>
      </c>
      <c r="C3690" s="1" t="s">
        <v>7832</v>
      </c>
      <c r="D3690" s="1" t="s">
        <v>7833</v>
      </c>
      <c r="E3690" s="1" t="s">
        <v>7834</v>
      </c>
      <c r="F3690" s="1" t="str">
        <f>HYPERLINK("https://talan.bank.gov.ua/get-user-certificate/J532547K0Kk80_zHLhmh","Завантажити сертифікат")</f>
        <v>Завантажити сертифікат</v>
      </c>
    </row>
    <row r="3691" spans="1:6" ht="57.6" x14ac:dyDescent="0.3">
      <c r="A3691" s="2">
        <v>3690</v>
      </c>
      <c r="B3691" s="1" t="s">
        <v>7835</v>
      </c>
      <c r="C3691" s="1" t="s">
        <v>7832</v>
      </c>
      <c r="D3691" s="1" t="s">
        <v>7833</v>
      </c>
      <c r="E3691" s="1" t="s">
        <v>7836</v>
      </c>
      <c r="F3691" s="1" t="str">
        <f>HYPERLINK("https://talan.bank.gov.ua/get-user-certificate/J53254n8drdIv_v5M9vx","Завантажити сертифікат")</f>
        <v>Завантажити сертифікат</v>
      </c>
    </row>
    <row r="3692" spans="1:6" ht="57.6" x14ac:dyDescent="0.3">
      <c r="A3692" s="2">
        <v>3691</v>
      </c>
      <c r="B3692" s="1" t="s">
        <v>7837</v>
      </c>
      <c r="C3692" s="1" t="s">
        <v>7832</v>
      </c>
      <c r="D3692" s="1" t="s">
        <v>7833</v>
      </c>
      <c r="E3692" s="1" t="s">
        <v>7838</v>
      </c>
      <c r="F3692" s="1" t="str">
        <f>HYPERLINK("https://talan.bank.gov.ua/get-user-certificate/J5325AWRK-RR-WBMsnns","Завантажити сертифікат")</f>
        <v>Завантажити сертифікат</v>
      </c>
    </row>
    <row r="3693" spans="1:6" ht="57.6" x14ac:dyDescent="0.3">
      <c r="A3693" s="2">
        <v>3692</v>
      </c>
      <c r="B3693" s="1" t="s">
        <v>7839</v>
      </c>
      <c r="C3693" s="1" t="s">
        <v>7832</v>
      </c>
      <c r="D3693" s="1" t="s">
        <v>7833</v>
      </c>
      <c r="E3693" s="1" t="s">
        <v>7840</v>
      </c>
      <c r="F3693" s="1" t="str">
        <f>HYPERLINK("https://talan.bank.gov.ua/get-user-certificate/J5325qk-V_qRNJi_YBEH","Завантажити сертифікат")</f>
        <v>Завантажити сертифікат</v>
      </c>
    </row>
    <row r="3694" spans="1:6" ht="28.8" x14ac:dyDescent="0.3">
      <c r="A3694" s="2">
        <v>3693</v>
      </c>
      <c r="B3694" s="1" t="s">
        <v>7841</v>
      </c>
      <c r="C3694" s="1" t="s">
        <v>7842</v>
      </c>
      <c r="D3694" s="1" t="s">
        <v>7843</v>
      </c>
      <c r="E3694" s="1" t="s">
        <v>7844</v>
      </c>
      <c r="F3694" s="1" t="str">
        <f>HYPERLINK("https://talan.bank.gov.ua/get-user-certificate/J532537gNf_DAs9I2D7x","Завантажити сертифікат")</f>
        <v>Завантажити сертифікат</v>
      </c>
    </row>
    <row r="3695" spans="1:6" ht="28.8" x14ac:dyDescent="0.3">
      <c r="A3695" s="2">
        <v>3694</v>
      </c>
      <c r="B3695" s="1" t="s">
        <v>7845</v>
      </c>
      <c r="C3695" s="1" t="s">
        <v>7842</v>
      </c>
      <c r="D3695" s="1" t="s">
        <v>7843</v>
      </c>
      <c r="E3695" s="1" t="s">
        <v>7846</v>
      </c>
      <c r="F3695" s="1" t="str">
        <f>HYPERLINK("https://talan.bank.gov.ua/get-user-certificate/J5325tmrxb5Eh0sHk9mH","Завантажити сертифікат")</f>
        <v>Завантажити сертифікат</v>
      </c>
    </row>
    <row r="3696" spans="1:6" ht="28.8" x14ac:dyDescent="0.3">
      <c r="A3696" s="2">
        <v>3695</v>
      </c>
      <c r="B3696" s="1" t="s">
        <v>7847</v>
      </c>
      <c r="C3696" s="1" t="s">
        <v>7842</v>
      </c>
      <c r="D3696" s="1" t="s">
        <v>7843</v>
      </c>
      <c r="E3696" s="1" t="s">
        <v>7848</v>
      </c>
      <c r="F3696" s="1" t="str">
        <f>HYPERLINK("https://talan.bank.gov.ua/get-user-certificate/J5325MYHBoaLj5-FUeWo","Завантажити сертифікат")</f>
        <v>Завантажити сертифікат</v>
      </c>
    </row>
    <row r="3697" spans="1:6" ht="28.8" x14ac:dyDescent="0.3">
      <c r="A3697" s="2">
        <v>3696</v>
      </c>
      <c r="B3697" s="1" t="s">
        <v>7849</v>
      </c>
      <c r="C3697" s="1" t="s">
        <v>7842</v>
      </c>
      <c r="D3697" s="1" t="s">
        <v>7843</v>
      </c>
      <c r="E3697" s="1" t="s">
        <v>7850</v>
      </c>
      <c r="F3697" s="1" t="str">
        <f>HYPERLINK("https://talan.bank.gov.ua/get-user-certificate/J5325kVSt94x-u-PPJBb","Завантажити сертифікат")</f>
        <v>Завантажити сертифікат</v>
      </c>
    </row>
    <row r="3698" spans="1:6" ht="28.8" x14ac:dyDescent="0.3">
      <c r="A3698" s="2">
        <v>3697</v>
      </c>
      <c r="B3698" s="1" t="s">
        <v>7851</v>
      </c>
      <c r="C3698" s="1" t="s">
        <v>7852</v>
      </c>
      <c r="D3698" s="1" t="s">
        <v>7853</v>
      </c>
      <c r="E3698" s="1" t="s">
        <v>7854</v>
      </c>
      <c r="F3698" s="1" t="str">
        <f>HYPERLINK("https://talan.bank.gov.ua/get-user-certificate/J5325z_ffrr3zR24hUvm","Завантажити сертифікат")</f>
        <v>Завантажити сертифікат</v>
      </c>
    </row>
    <row r="3699" spans="1:6" ht="28.8" x14ac:dyDescent="0.3">
      <c r="A3699" s="2">
        <v>3698</v>
      </c>
      <c r="B3699" s="1" t="s">
        <v>7855</v>
      </c>
      <c r="C3699" s="1" t="s">
        <v>7852</v>
      </c>
      <c r="D3699" s="1" t="s">
        <v>7853</v>
      </c>
      <c r="E3699" s="1" t="s">
        <v>7856</v>
      </c>
      <c r="F3699" s="1" t="str">
        <f>HYPERLINK("https://talan.bank.gov.ua/get-user-certificate/J5325NquEnO9LBLakdrF","Завантажити сертифікат")</f>
        <v>Завантажити сертифікат</v>
      </c>
    </row>
    <row r="3700" spans="1:6" ht="28.8" x14ac:dyDescent="0.3">
      <c r="A3700" s="2">
        <v>3699</v>
      </c>
      <c r="B3700" s="1" t="s">
        <v>7857</v>
      </c>
      <c r="C3700" s="1" t="s">
        <v>7852</v>
      </c>
      <c r="D3700" s="1" t="s">
        <v>7853</v>
      </c>
      <c r="E3700" s="1" t="s">
        <v>7858</v>
      </c>
      <c r="F3700" s="1" t="str">
        <f>HYPERLINK("https://talan.bank.gov.ua/get-user-certificate/J5325lwU9ewrfe2YUo1B","Завантажити сертифікат")</f>
        <v>Завантажити сертифікат</v>
      </c>
    </row>
    <row r="3701" spans="1:6" ht="28.8" x14ac:dyDescent="0.3">
      <c r="A3701" s="2">
        <v>3700</v>
      </c>
      <c r="B3701" s="1" t="s">
        <v>7859</v>
      </c>
      <c r="C3701" s="1" t="s">
        <v>7852</v>
      </c>
      <c r="D3701" s="1" t="s">
        <v>7853</v>
      </c>
      <c r="E3701" s="1" t="s">
        <v>7860</v>
      </c>
      <c r="F3701" s="1" t="str">
        <f>HYPERLINK("https://talan.bank.gov.ua/get-user-certificate/J5325wdLeLNG_SoyWtvU","Завантажити сертифікат")</f>
        <v>Завантажити сертифікат</v>
      </c>
    </row>
    <row r="3702" spans="1:6" ht="28.8" x14ac:dyDescent="0.3">
      <c r="A3702" s="2">
        <v>3701</v>
      </c>
      <c r="B3702" s="1" t="s">
        <v>7861</v>
      </c>
      <c r="C3702" s="1" t="s">
        <v>7852</v>
      </c>
      <c r="D3702" s="1" t="s">
        <v>7853</v>
      </c>
      <c r="E3702" s="1" t="s">
        <v>7862</v>
      </c>
      <c r="F3702" s="1" t="str">
        <f>HYPERLINK("https://talan.bank.gov.ua/get-user-certificate/J5325_bl85arjxxtQYqg","Завантажити сертифікат")</f>
        <v>Завантажити сертифікат</v>
      </c>
    </row>
    <row r="3703" spans="1:6" ht="28.8" x14ac:dyDescent="0.3">
      <c r="A3703" s="2">
        <v>3702</v>
      </c>
      <c r="B3703" s="1" t="s">
        <v>7863</v>
      </c>
      <c r="C3703" s="1" t="s">
        <v>7852</v>
      </c>
      <c r="D3703" s="1" t="s">
        <v>7853</v>
      </c>
      <c r="E3703" s="1" t="s">
        <v>7864</v>
      </c>
      <c r="F3703" s="1" t="str">
        <f>HYPERLINK("https://talan.bank.gov.ua/get-user-certificate/J5325N8Ck4KF7pOmhHrZ","Завантажити сертифікат")</f>
        <v>Завантажити сертифікат</v>
      </c>
    </row>
    <row r="3704" spans="1:6" ht="28.8" x14ac:dyDescent="0.3">
      <c r="A3704" s="2">
        <v>3703</v>
      </c>
      <c r="B3704" s="1" t="s">
        <v>7865</v>
      </c>
      <c r="C3704" s="1" t="s">
        <v>7852</v>
      </c>
      <c r="D3704" s="1" t="s">
        <v>7853</v>
      </c>
      <c r="E3704" s="1" t="s">
        <v>7866</v>
      </c>
      <c r="F3704" s="1" t="str">
        <f>HYPERLINK("https://talan.bank.gov.ua/get-user-certificate/J5325tXPVLVg3TEJcJzs","Завантажити сертифікат")</f>
        <v>Завантажити сертифікат</v>
      </c>
    </row>
    <row r="3705" spans="1:6" ht="28.8" x14ac:dyDescent="0.3">
      <c r="A3705" s="2">
        <v>3704</v>
      </c>
      <c r="B3705" s="1" t="s">
        <v>7867</v>
      </c>
      <c r="C3705" s="1" t="s">
        <v>7852</v>
      </c>
      <c r="D3705" s="1" t="s">
        <v>7853</v>
      </c>
      <c r="E3705" s="1" t="s">
        <v>7868</v>
      </c>
      <c r="F3705" s="1" t="str">
        <f>HYPERLINK("https://talan.bank.gov.ua/get-user-certificate/J5325MjTpM4x2fHOImtq","Завантажити сертифікат")</f>
        <v>Завантажити сертифікат</v>
      </c>
    </row>
    <row r="3706" spans="1:6" ht="28.8" x14ac:dyDescent="0.3">
      <c r="A3706" s="2">
        <v>3705</v>
      </c>
      <c r="B3706" s="1" t="s">
        <v>7869</v>
      </c>
      <c r="C3706" s="1" t="s">
        <v>7852</v>
      </c>
      <c r="D3706" s="1" t="s">
        <v>7853</v>
      </c>
      <c r="E3706" s="1" t="s">
        <v>7870</v>
      </c>
      <c r="F3706" s="1" t="str">
        <f>HYPERLINK("https://talan.bank.gov.ua/get-user-certificate/J5325Ilw0kIe4fichkZS","Завантажити сертифікат")</f>
        <v>Завантажити сертифікат</v>
      </c>
    </row>
    <row r="3707" spans="1:6" ht="28.8" x14ac:dyDescent="0.3">
      <c r="A3707" s="2">
        <v>3706</v>
      </c>
      <c r="B3707" s="1" t="s">
        <v>7871</v>
      </c>
      <c r="C3707" s="1" t="s">
        <v>7852</v>
      </c>
      <c r="D3707" s="1" t="s">
        <v>7853</v>
      </c>
      <c r="E3707" s="1" t="s">
        <v>7872</v>
      </c>
      <c r="F3707" s="1" t="str">
        <f>HYPERLINK("https://talan.bank.gov.ua/get-user-certificate/J5325zFKx1e_6gYu0BOC","Завантажити сертифікат")</f>
        <v>Завантажити сертифікат</v>
      </c>
    </row>
    <row r="3708" spans="1:6" ht="28.8" x14ac:dyDescent="0.3">
      <c r="A3708" s="2">
        <v>3707</v>
      </c>
      <c r="B3708" s="1" t="s">
        <v>7873</v>
      </c>
      <c r="C3708" s="1" t="s">
        <v>7852</v>
      </c>
      <c r="D3708" s="1" t="s">
        <v>7853</v>
      </c>
      <c r="E3708" s="1" t="s">
        <v>7874</v>
      </c>
      <c r="F3708" s="1" t="str">
        <f>HYPERLINK("https://talan.bank.gov.ua/get-user-certificate/J5325lzUQ5GE43xlz_ti","Завантажити сертифікат")</f>
        <v>Завантажити сертифікат</v>
      </c>
    </row>
    <row r="3709" spans="1:6" ht="28.8" x14ac:dyDescent="0.3">
      <c r="A3709" s="2">
        <v>3708</v>
      </c>
      <c r="B3709" s="1" t="s">
        <v>7875</v>
      </c>
      <c r="C3709" s="1" t="s">
        <v>7852</v>
      </c>
      <c r="D3709" s="1" t="s">
        <v>7853</v>
      </c>
      <c r="E3709" s="1" t="s">
        <v>7876</v>
      </c>
      <c r="F3709" s="1" t="str">
        <f>HYPERLINK("https://talan.bank.gov.ua/get-user-certificate/J5325s76ddvL9LTEM9R8","Завантажити сертифікат")</f>
        <v>Завантажити сертифікат</v>
      </c>
    </row>
    <row r="3710" spans="1:6" ht="28.8" x14ac:dyDescent="0.3">
      <c r="A3710" s="2">
        <v>3709</v>
      </c>
      <c r="B3710" s="1" t="s">
        <v>7877</v>
      </c>
      <c r="C3710" s="1" t="s">
        <v>7852</v>
      </c>
      <c r="D3710" s="1" t="s">
        <v>7853</v>
      </c>
      <c r="E3710" s="1" t="s">
        <v>7878</v>
      </c>
      <c r="F3710" s="1" t="str">
        <f>HYPERLINK("https://talan.bank.gov.ua/get-user-certificate/J5325uFdBb1MhdeX7io0","Завантажити сертифікат")</f>
        <v>Завантажити сертифікат</v>
      </c>
    </row>
    <row r="3711" spans="1:6" ht="28.8" x14ac:dyDescent="0.3">
      <c r="A3711" s="2">
        <v>3710</v>
      </c>
      <c r="B3711" s="1" t="s">
        <v>7879</v>
      </c>
      <c r="C3711" s="1" t="s">
        <v>7852</v>
      </c>
      <c r="D3711" s="1" t="s">
        <v>7853</v>
      </c>
      <c r="E3711" s="1" t="s">
        <v>7880</v>
      </c>
      <c r="F3711" s="1" t="str">
        <f>HYPERLINK("https://talan.bank.gov.ua/get-user-certificate/J5325ZaMxu0LVoCHKBZS","Завантажити сертифікат")</f>
        <v>Завантажити сертифікат</v>
      </c>
    </row>
    <row r="3712" spans="1:6" ht="28.8" x14ac:dyDescent="0.3">
      <c r="A3712" s="2">
        <v>3711</v>
      </c>
      <c r="B3712" s="1" t="s">
        <v>7881</v>
      </c>
      <c r="C3712" s="1" t="s">
        <v>7852</v>
      </c>
      <c r="D3712" s="1" t="s">
        <v>7853</v>
      </c>
      <c r="E3712" s="1" t="s">
        <v>7882</v>
      </c>
      <c r="F3712" s="1" t="str">
        <f>HYPERLINK("https://talan.bank.gov.ua/get-user-certificate/J53253KrIq0B4Blh7U4C","Завантажити сертифікат")</f>
        <v>Завантажити сертифікат</v>
      </c>
    </row>
    <row r="3713" spans="1:6" ht="28.8" x14ac:dyDescent="0.3">
      <c r="A3713" s="2">
        <v>3712</v>
      </c>
      <c r="B3713" s="1" t="s">
        <v>7883</v>
      </c>
      <c r="C3713" s="1" t="s">
        <v>7852</v>
      </c>
      <c r="D3713" s="1" t="s">
        <v>7853</v>
      </c>
      <c r="E3713" s="1" t="s">
        <v>7884</v>
      </c>
      <c r="F3713" s="1" t="str">
        <f>HYPERLINK("https://talan.bank.gov.ua/get-user-certificate/J5325UpfwLPnYJ97nbS6","Завантажити сертифікат")</f>
        <v>Завантажити сертифікат</v>
      </c>
    </row>
    <row r="3714" spans="1:6" ht="28.8" x14ac:dyDescent="0.3">
      <c r="A3714" s="2">
        <v>3713</v>
      </c>
      <c r="B3714" s="1" t="s">
        <v>7885</v>
      </c>
      <c r="C3714" s="1" t="s">
        <v>7852</v>
      </c>
      <c r="D3714" s="1" t="s">
        <v>7853</v>
      </c>
      <c r="E3714" s="1" t="s">
        <v>7886</v>
      </c>
      <c r="F3714" s="1" t="str">
        <f>HYPERLINK("https://talan.bank.gov.ua/get-user-certificate/J53258VTAj46vaLgOeFX","Завантажити сертифікат")</f>
        <v>Завантажити сертифікат</v>
      </c>
    </row>
    <row r="3715" spans="1:6" ht="28.8" x14ac:dyDescent="0.3">
      <c r="A3715" s="2">
        <v>3714</v>
      </c>
      <c r="B3715" s="1" t="s">
        <v>7887</v>
      </c>
      <c r="C3715" s="1" t="s">
        <v>7852</v>
      </c>
      <c r="D3715" s="1" t="s">
        <v>7853</v>
      </c>
      <c r="E3715" s="1" t="s">
        <v>7888</v>
      </c>
      <c r="F3715" s="1" t="str">
        <f>HYPERLINK("https://talan.bank.gov.ua/get-user-certificate/J5325hNM2SCnQBJqn_p2","Завантажити сертифікат")</f>
        <v>Завантажити сертифікат</v>
      </c>
    </row>
    <row r="3716" spans="1:6" ht="28.8" x14ac:dyDescent="0.3">
      <c r="A3716" s="2">
        <v>3715</v>
      </c>
      <c r="B3716" s="1" t="s">
        <v>7889</v>
      </c>
      <c r="C3716" s="1" t="s">
        <v>7852</v>
      </c>
      <c r="D3716" s="1" t="s">
        <v>7853</v>
      </c>
      <c r="E3716" s="1" t="s">
        <v>7890</v>
      </c>
      <c r="F3716" s="1" t="str">
        <f>HYPERLINK("https://talan.bank.gov.ua/get-user-certificate/J5325XJF_gWppVLI77w-","Завантажити сертифікат")</f>
        <v>Завантажити сертифікат</v>
      </c>
    </row>
    <row r="3717" spans="1:6" ht="28.8" x14ac:dyDescent="0.3">
      <c r="A3717" s="2">
        <v>3716</v>
      </c>
      <c r="B3717" s="1" t="s">
        <v>7891</v>
      </c>
      <c r="C3717" s="1" t="s">
        <v>7852</v>
      </c>
      <c r="D3717" s="1" t="s">
        <v>7853</v>
      </c>
      <c r="E3717" s="1" t="s">
        <v>7892</v>
      </c>
      <c r="F3717" s="1" t="str">
        <f>HYPERLINK("https://talan.bank.gov.ua/get-user-certificate/J5325rnXtgdOG283aObl","Завантажити сертифікат")</f>
        <v>Завантажити сертифікат</v>
      </c>
    </row>
    <row r="3718" spans="1:6" ht="28.8" x14ac:dyDescent="0.3">
      <c r="A3718" s="2">
        <v>3717</v>
      </c>
      <c r="B3718" s="1" t="s">
        <v>7893</v>
      </c>
      <c r="C3718" s="1" t="s">
        <v>7852</v>
      </c>
      <c r="D3718" s="1" t="s">
        <v>7853</v>
      </c>
      <c r="E3718" s="1" t="s">
        <v>7894</v>
      </c>
      <c r="F3718" s="1" t="str">
        <f>HYPERLINK("https://talan.bank.gov.ua/get-user-certificate/J5325OjpZmzlRtchA4_X","Завантажити сертифікат")</f>
        <v>Завантажити сертифікат</v>
      </c>
    </row>
    <row r="3719" spans="1:6" ht="28.8" x14ac:dyDescent="0.3">
      <c r="A3719" s="2">
        <v>3718</v>
      </c>
      <c r="B3719" s="1" t="s">
        <v>7895</v>
      </c>
      <c r="C3719" s="1" t="s">
        <v>7852</v>
      </c>
      <c r="D3719" s="1" t="s">
        <v>7853</v>
      </c>
      <c r="E3719" s="1" t="s">
        <v>7896</v>
      </c>
      <c r="F3719" s="1" t="str">
        <f>HYPERLINK("https://talan.bank.gov.ua/get-user-certificate/J5325ou2dyN6TQOv5sPh","Завантажити сертифікат")</f>
        <v>Завантажити сертифікат</v>
      </c>
    </row>
    <row r="3720" spans="1:6" ht="28.8" x14ac:dyDescent="0.3">
      <c r="A3720" s="2">
        <v>3719</v>
      </c>
      <c r="B3720" s="1" t="s">
        <v>7897</v>
      </c>
      <c r="C3720" s="1" t="s">
        <v>7852</v>
      </c>
      <c r="D3720" s="1" t="s">
        <v>7853</v>
      </c>
      <c r="E3720" s="1" t="s">
        <v>7898</v>
      </c>
      <c r="F3720" s="1" t="str">
        <f>HYPERLINK("https://talan.bank.gov.ua/get-user-certificate/J5325MOAQsxmFMWUYoPg","Завантажити сертифікат")</f>
        <v>Завантажити сертифікат</v>
      </c>
    </row>
    <row r="3721" spans="1:6" ht="28.8" x14ac:dyDescent="0.3">
      <c r="A3721" s="2">
        <v>3720</v>
      </c>
      <c r="B3721" s="1" t="s">
        <v>7899</v>
      </c>
      <c r="C3721" s="1" t="s">
        <v>7852</v>
      </c>
      <c r="D3721" s="1" t="s">
        <v>7853</v>
      </c>
      <c r="E3721" s="1" t="s">
        <v>7900</v>
      </c>
      <c r="F3721" s="1" t="str">
        <f>HYPERLINK("https://talan.bank.gov.ua/get-user-certificate/J5325c05gJCCeXOP9Kqq","Завантажити сертифікат")</f>
        <v>Завантажити сертифікат</v>
      </c>
    </row>
    <row r="3722" spans="1:6" ht="28.8" x14ac:dyDescent="0.3">
      <c r="A3722" s="2">
        <v>3721</v>
      </c>
      <c r="B3722" s="1" t="s">
        <v>7901</v>
      </c>
      <c r="C3722" s="1" t="s">
        <v>7852</v>
      </c>
      <c r="D3722" s="1" t="s">
        <v>7853</v>
      </c>
      <c r="E3722" s="1" t="s">
        <v>7902</v>
      </c>
      <c r="F3722" s="1" t="str">
        <f>HYPERLINK("https://talan.bank.gov.ua/get-user-certificate/J5325O4259tgQhnOJRWH","Завантажити сертифікат")</f>
        <v>Завантажити сертифікат</v>
      </c>
    </row>
    <row r="3723" spans="1:6" ht="28.8" x14ac:dyDescent="0.3">
      <c r="A3723" s="2">
        <v>3722</v>
      </c>
      <c r="B3723" s="1" t="s">
        <v>7903</v>
      </c>
      <c r="C3723" s="1" t="s">
        <v>7852</v>
      </c>
      <c r="D3723" s="1" t="s">
        <v>7853</v>
      </c>
      <c r="E3723" s="1" t="s">
        <v>7904</v>
      </c>
      <c r="F3723" s="1" t="str">
        <f>HYPERLINK("https://talan.bank.gov.ua/get-user-certificate/J5325sIYhbm7j3yFdim0","Завантажити сертифікат")</f>
        <v>Завантажити сертифікат</v>
      </c>
    </row>
    <row r="3724" spans="1:6" ht="28.8" x14ac:dyDescent="0.3">
      <c r="A3724" s="2">
        <v>3723</v>
      </c>
      <c r="B3724" s="1" t="s">
        <v>7905</v>
      </c>
      <c r="C3724" s="1" t="s">
        <v>7852</v>
      </c>
      <c r="D3724" s="1" t="s">
        <v>7853</v>
      </c>
      <c r="E3724" s="1" t="s">
        <v>7906</v>
      </c>
      <c r="F3724" s="1" t="str">
        <f>HYPERLINK("https://talan.bank.gov.ua/get-user-certificate/J5325cJOsWP2mdZQGjGc","Завантажити сертифікат")</f>
        <v>Завантажити сертифікат</v>
      </c>
    </row>
    <row r="3725" spans="1:6" ht="28.8" x14ac:dyDescent="0.3">
      <c r="A3725" s="2">
        <v>3724</v>
      </c>
      <c r="B3725" s="1" t="s">
        <v>7907</v>
      </c>
      <c r="C3725" s="1" t="s">
        <v>7852</v>
      </c>
      <c r="D3725" s="1" t="s">
        <v>7853</v>
      </c>
      <c r="E3725" s="1" t="s">
        <v>7908</v>
      </c>
      <c r="F3725" s="1" t="str">
        <f>HYPERLINK("https://talan.bank.gov.ua/get-user-certificate/J5325wpf-Ew0XhwgIWwo","Завантажити сертифікат")</f>
        <v>Завантажити сертифікат</v>
      </c>
    </row>
    <row r="3726" spans="1:6" ht="28.8" x14ac:dyDescent="0.3">
      <c r="A3726" s="2">
        <v>3725</v>
      </c>
      <c r="B3726" s="1" t="s">
        <v>7909</v>
      </c>
      <c r="C3726" s="1" t="s">
        <v>7852</v>
      </c>
      <c r="D3726" s="1" t="s">
        <v>7853</v>
      </c>
      <c r="E3726" s="1" t="s">
        <v>7910</v>
      </c>
      <c r="F3726" s="1" t="str">
        <f>HYPERLINK("https://talan.bank.gov.ua/get-user-certificate/J5325hrjZxVSzs_UBVSV","Завантажити сертифікат")</f>
        <v>Завантажити сертифікат</v>
      </c>
    </row>
    <row r="3727" spans="1:6" ht="28.8" x14ac:dyDescent="0.3">
      <c r="A3727" s="2">
        <v>3726</v>
      </c>
      <c r="B3727" s="1" t="s">
        <v>7911</v>
      </c>
      <c r="C3727" s="1" t="s">
        <v>7852</v>
      </c>
      <c r="D3727" s="1" t="s">
        <v>7853</v>
      </c>
      <c r="E3727" s="1" t="s">
        <v>7912</v>
      </c>
      <c r="F3727" s="1" t="str">
        <f>HYPERLINK("https://talan.bank.gov.ua/get-user-certificate/J5325QVXheLFB9wlS57w","Завантажити сертифікат")</f>
        <v>Завантажити сертифікат</v>
      </c>
    </row>
    <row r="3728" spans="1:6" ht="28.8" x14ac:dyDescent="0.3">
      <c r="A3728" s="2">
        <v>3727</v>
      </c>
      <c r="B3728" s="1" t="s">
        <v>7913</v>
      </c>
      <c r="C3728" s="1" t="s">
        <v>7852</v>
      </c>
      <c r="D3728" s="1" t="s">
        <v>7853</v>
      </c>
      <c r="E3728" s="1" t="s">
        <v>7914</v>
      </c>
      <c r="F3728" s="1" t="str">
        <f>HYPERLINK("https://talan.bank.gov.ua/get-user-certificate/J5325wCSBiu1QIhUqgDG","Завантажити сертифікат")</f>
        <v>Завантажити сертифікат</v>
      </c>
    </row>
    <row r="3729" spans="1:6" ht="28.8" x14ac:dyDescent="0.3">
      <c r="A3729" s="2">
        <v>3728</v>
      </c>
      <c r="B3729" s="1" t="s">
        <v>7915</v>
      </c>
      <c r="C3729" s="1" t="s">
        <v>7852</v>
      </c>
      <c r="D3729" s="1" t="s">
        <v>7853</v>
      </c>
      <c r="E3729" s="1" t="s">
        <v>7916</v>
      </c>
      <c r="F3729" s="1" t="str">
        <f>HYPERLINK("https://talan.bank.gov.ua/get-user-certificate/J5325qx_cUjmmoaABBB5","Завантажити сертифікат")</f>
        <v>Завантажити сертифікат</v>
      </c>
    </row>
    <row r="3730" spans="1:6" ht="28.8" x14ac:dyDescent="0.3">
      <c r="A3730" s="2">
        <v>3729</v>
      </c>
      <c r="B3730" s="1" t="s">
        <v>7917</v>
      </c>
      <c r="C3730" s="1" t="s">
        <v>7852</v>
      </c>
      <c r="D3730" s="1" t="s">
        <v>7853</v>
      </c>
      <c r="E3730" s="1" t="s">
        <v>7918</v>
      </c>
      <c r="F3730" s="1" t="str">
        <f>HYPERLINK("https://talan.bank.gov.ua/get-user-certificate/J5325eHLzjUHZh4ND01r","Завантажити сертифікат")</f>
        <v>Завантажити сертифікат</v>
      </c>
    </row>
    <row r="3731" spans="1:6" ht="28.8" x14ac:dyDescent="0.3">
      <c r="A3731" s="2">
        <v>3730</v>
      </c>
      <c r="B3731" s="1" t="s">
        <v>7919</v>
      </c>
      <c r="C3731" s="1" t="s">
        <v>7852</v>
      </c>
      <c r="D3731" s="1" t="s">
        <v>7853</v>
      </c>
      <c r="E3731" s="1" t="s">
        <v>7920</v>
      </c>
      <c r="F3731" s="1" t="str">
        <f>HYPERLINK("https://talan.bank.gov.ua/get-user-certificate/J5325d7kNNJZk5fCN7na","Завантажити сертифікат")</f>
        <v>Завантажити сертифікат</v>
      </c>
    </row>
    <row r="3732" spans="1:6" ht="28.8" x14ac:dyDescent="0.3">
      <c r="A3732" s="2">
        <v>3731</v>
      </c>
      <c r="B3732" s="1" t="s">
        <v>7921</v>
      </c>
      <c r="C3732" s="1" t="s">
        <v>7852</v>
      </c>
      <c r="D3732" s="1" t="s">
        <v>7853</v>
      </c>
      <c r="E3732" s="1" t="s">
        <v>7922</v>
      </c>
      <c r="F3732" s="1" t="str">
        <f>HYPERLINK("https://talan.bank.gov.ua/get-user-certificate/J5325z1h1RBSwtvxkDLg","Завантажити сертифікат")</f>
        <v>Завантажити сертифікат</v>
      </c>
    </row>
    <row r="3733" spans="1:6" ht="28.8" x14ac:dyDescent="0.3">
      <c r="A3733" s="2">
        <v>3732</v>
      </c>
      <c r="B3733" s="1" t="s">
        <v>7923</v>
      </c>
      <c r="C3733" s="1" t="s">
        <v>7852</v>
      </c>
      <c r="D3733" s="1" t="s">
        <v>7853</v>
      </c>
      <c r="E3733" s="1" t="s">
        <v>7924</v>
      </c>
      <c r="F3733" s="1" t="str">
        <f>HYPERLINK("https://talan.bank.gov.ua/get-user-certificate/J5325U0auoejlWwWvlI6","Завантажити сертифікат")</f>
        <v>Завантажити сертифікат</v>
      </c>
    </row>
    <row r="3734" spans="1:6" ht="28.8" x14ac:dyDescent="0.3">
      <c r="A3734" s="2">
        <v>3733</v>
      </c>
      <c r="B3734" s="1" t="s">
        <v>7925</v>
      </c>
      <c r="C3734" s="1" t="s">
        <v>7852</v>
      </c>
      <c r="D3734" s="1" t="s">
        <v>7853</v>
      </c>
      <c r="E3734" s="1" t="s">
        <v>7926</v>
      </c>
      <c r="F3734" s="1" t="str">
        <f>HYPERLINK("https://talan.bank.gov.ua/get-user-certificate/J5325jrfFYDJnbF-3ZyZ","Завантажити сертифікат")</f>
        <v>Завантажити сертифікат</v>
      </c>
    </row>
    <row r="3735" spans="1:6" ht="28.8" x14ac:dyDescent="0.3">
      <c r="A3735" s="2">
        <v>3734</v>
      </c>
      <c r="B3735" s="1" t="s">
        <v>7927</v>
      </c>
      <c r="C3735" s="1" t="s">
        <v>7852</v>
      </c>
      <c r="D3735" s="1" t="s">
        <v>7853</v>
      </c>
      <c r="E3735" s="1" t="s">
        <v>7928</v>
      </c>
      <c r="F3735" s="1" t="str">
        <f>HYPERLINK("https://talan.bank.gov.ua/get-user-certificate/J5325UY1hAG3CE6RAoX8","Завантажити сертифікат")</f>
        <v>Завантажити сертифікат</v>
      </c>
    </row>
    <row r="3736" spans="1:6" ht="28.8" x14ac:dyDescent="0.3">
      <c r="A3736" s="2">
        <v>3735</v>
      </c>
      <c r="B3736" s="1" t="s">
        <v>7929</v>
      </c>
      <c r="C3736" s="1" t="s">
        <v>7852</v>
      </c>
      <c r="D3736" s="1" t="s">
        <v>7853</v>
      </c>
      <c r="E3736" s="1" t="s">
        <v>7930</v>
      </c>
      <c r="F3736" s="1" t="str">
        <f>HYPERLINK("https://talan.bank.gov.ua/get-user-certificate/J5325QqAx7CZCRgz0qnb","Завантажити сертифікат")</f>
        <v>Завантажити сертифікат</v>
      </c>
    </row>
    <row r="3737" spans="1:6" ht="28.8" x14ac:dyDescent="0.3">
      <c r="A3737" s="2">
        <v>3736</v>
      </c>
      <c r="B3737" s="1" t="s">
        <v>7931</v>
      </c>
      <c r="C3737" s="1" t="s">
        <v>7852</v>
      </c>
      <c r="D3737" s="1" t="s">
        <v>7853</v>
      </c>
      <c r="E3737" s="1" t="s">
        <v>7932</v>
      </c>
      <c r="F3737" s="1" t="str">
        <f>HYPERLINK("https://talan.bank.gov.ua/get-user-certificate/J5325r5a-vad_iKFOLXj","Завантажити сертифікат")</f>
        <v>Завантажити сертифікат</v>
      </c>
    </row>
    <row r="3738" spans="1:6" ht="28.8" x14ac:dyDescent="0.3">
      <c r="A3738" s="2">
        <v>3737</v>
      </c>
      <c r="B3738" s="1" t="s">
        <v>7933</v>
      </c>
      <c r="C3738" s="1" t="s">
        <v>7934</v>
      </c>
      <c r="D3738" s="1" t="s">
        <v>7935</v>
      </c>
      <c r="E3738" s="1" t="s">
        <v>7936</v>
      </c>
      <c r="F3738" s="1" t="str">
        <f>HYPERLINK("https://talan.bank.gov.ua/get-user-certificate/J53256nIWVPeuw7hOexX","Завантажити сертифікат")</f>
        <v>Завантажити сертифікат</v>
      </c>
    </row>
    <row r="3739" spans="1:6" ht="28.8" x14ac:dyDescent="0.3">
      <c r="A3739" s="2">
        <v>3738</v>
      </c>
      <c r="B3739" s="1" t="s">
        <v>7937</v>
      </c>
      <c r="C3739" s="1" t="s">
        <v>7934</v>
      </c>
      <c r="D3739" s="1" t="s">
        <v>7935</v>
      </c>
      <c r="E3739" s="1" t="s">
        <v>7938</v>
      </c>
      <c r="F3739" s="1" t="str">
        <f>HYPERLINK("https://talan.bank.gov.ua/get-user-certificate/J5325aoei1zlHrxsodgQ","Завантажити сертифікат")</f>
        <v>Завантажити сертифікат</v>
      </c>
    </row>
    <row r="3740" spans="1:6" ht="28.8" x14ac:dyDescent="0.3">
      <c r="A3740" s="2">
        <v>3739</v>
      </c>
      <c r="B3740" s="1" t="s">
        <v>7939</v>
      </c>
      <c r="C3740" s="1" t="s">
        <v>7934</v>
      </c>
      <c r="D3740" s="1" t="s">
        <v>7935</v>
      </c>
      <c r="E3740" s="1" t="s">
        <v>7940</v>
      </c>
      <c r="F3740" s="1" t="str">
        <f>HYPERLINK("https://talan.bank.gov.ua/get-user-certificate/J5325sbzCemBLq47bmiG","Завантажити сертифікат")</f>
        <v>Завантажити сертифікат</v>
      </c>
    </row>
    <row r="3741" spans="1:6" ht="28.8" x14ac:dyDescent="0.3">
      <c r="A3741" s="2">
        <v>3740</v>
      </c>
      <c r="B3741" s="1" t="s">
        <v>7941</v>
      </c>
      <c r="C3741" s="1" t="s">
        <v>7934</v>
      </c>
      <c r="D3741" s="1" t="s">
        <v>7935</v>
      </c>
      <c r="E3741" s="1" t="s">
        <v>7942</v>
      </c>
      <c r="F3741" s="1" t="str">
        <f>HYPERLINK("https://talan.bank.gov.ua/get-user-certificate/J5325zoZvrHJYisknXzT","Завантажити сертифікат")</f>
        <v>Завантажити сертифікат</v>
      </c>
    </row>
    <row r="3742" spans="1:6" ht="28.8" x14ac:dyDescent="0.3">
      <c r="A3742" s="2">
        <v>3741</v>
      </c>
      <c r="B3742" s="1" t="s">
        <v>7943</v>
      </c>
      <c r="C3742" s="1" t="s">
        <v>7934</v>
      </c>
      <c r="D3742" s="1" t="s">
        <v>7935</v>
      </c>
      <c r="E3742" s="1" t="s">
        <v>7944</v>
      </c>
      <c r="F3742" s="1" t="str">
        <f>HYPERLINK("https://talan.bank.gov.ua/get-user-certificate/J5325HfJfVEKpm_bIImU","Завантажити сертифікат")</f>
        <v>Завантажити сертифікат</v>
      </c>
    </row>
    <row r="3743" spans="1:6" ht="28.8" x14ac:dyDescent="0.3">
      <c r="A3743" s="2">
        <v>3742</v>
      </c>
      <c r="B3743" s="1" t="s">
        <v>7945</v>
      </c>
      <c r="C3743" s="1" t="s">
        <v>7934</v>
      </c>
      <c r="D3743" s="1" t="s">
        <v>7935</v>
      </c>
      <c r="E3743" s="1" t="s">
        <v>7946</v>
      </c>
      <c r="F3743" s="1" t="str">
        <f>HYPERLINK("https://talan.bank.gov.ua/get-user-certificate/J5325vxM89kq2Gw4QSri","Завантажити сертифікат")</f>
        <v>Завантажити сертифікат</v>
      </c>
    </row>
    <row r="3744" spans="1:6" ht="28.8" x14ac:dyDescent="0.3">
      <c r="A3744" s="2">
        <v>3743</v>
      </c>
      <c r="B3744" s="1" t="s">
        <v>7947</v>
      </c>
      <c r="C3744" s="1" t="s">
        <v>7934</v>
      </c>
      <c r="D3744" s="1" t="s">
        <v>7935</v>
      </c>
      <c r="E3744" s="1" t="s">
        <v>7948</v>
      </c>
      <c r="F3744" s="1" t="str">
        <f>HYPERLINK("https://talan.bank.gov.ua/get-user-certificate/J5325btI3cD7DwCgzjCf","Завантажити сертифікат")</f>
        <v>Завантажити сертифікат</v>
      </c>
    </row>
    <row r="3745" spans="1:6" ht="28.8" x14ac:dyDescent="0.3">
      <c r="A3745" s="2">
        <v>3744</v>
      </c>
      <c r="B3745" s="1" t="s">
        <v>7949</v>
      </c>
      <c r="C3745" s="1" t="s">
        <v>7934</v>
      </c>
      <c r="D3745" s="1" t="s">
        <v>7935</v>
      </c>
      <c r="E3745" s="1" t="s">
        <v>7950</v>
      </c>
      <c r="F3745" s="1" t="str">
        <f>HYPERLINK("https://talan.bank.gov.ua/get-user-certificate/J532529UXNyR8cDjzOHP","Завантажити сертифікат")</f>
        <v>Завантажити сертифікат</v>
      </c>
    </row>
    <row r="3746" spans="1:6" ht="43.2" x14ac:dyDescent="0.3">
      <c r="A3746" s="2">
        <v>3745</v>
      </c>
      <c r="B3746" s="1" t="s">
        <v>7951</v>
      </c>
      <c r="C3746" s="1" t="s">
        <v>7952</v>
      </c>
      <c r="D3746" s="1" t="s">
        <v>7953</v>
      </c>
      <c r="E3746" s="1" t="s">
        <v>7954</v>
      </c>
      <c r="F3746" s="1" t="str">
        <f>HYPERLINK("https://talan.bank.gov.ua/get-user-certificate/J5325_C96dLD0MjjbeI_","Завантажити сертифікат")</f>
        <v>Завантажити сертифікат</v>
      </c>
    </row>
    <row r="3747" spans="1:6" ht="43.2" x14ac:dyDescent="0.3">
      <c r="A3747" s="2">
        <v>3746</v>
      </c>
      <c r="B3747" s="1" t="s">
        <v>7955</v>
      </c>
      <c r="C3747" s="1" t="s">
        <v>7952</v>
      </c>
      <c r="D3747" s="1" t="s">
        <v>7953</v>
      </c>
      <c r="E3747" s="1" t="s">
        <v>7956</v>
      </c>
      <c r="F3747" s="1" t="str">
        <f>HYPERLINK("https://talan.bank.gov.ua/get-user-certificate/J5325BmVaQ511vttDfRN","Завантажити сертифікат")</f>
        <v>Завантажити сертифікат</v>
      </c>
    </row>
    <row r="3748" spans="1:6" ht="43.2" x14ac:dyDescent="0.3">
      <c r="A3748" s="2">
        <v>3747</v>
      </c>
      <c r="B3748" s="1" t="s">
        <v>7957</v>
      </c>
      <c r="C3748" s="1" t="s">
        <v>7952</v>
      </c>
      <c r="D3748" s="1" t="s">
        <v>7953</v>
      </c>
      <c r="E3748" s="1" t="s">
        <v>7958</v>
      </c>
      <c r="F3748" s="1" t="str">
        <f>HYPERLINK("https://talan.bank.gov.ua/get-user-certificate/J53259bpiKeEj81ou7lA","Завантажити сертифікат")</f>
        <v>Завантажити сертифікат</v>
      </c>
    </row>
    <row r="3749" spans="1:6" ht="43.2" x14ac:dyDescent="0.3">
      <c r="A3749" s="2">
        <v>3748</v>
      </c>
      <c r="B3749" s="1" t="s">
        <v>7959</v>
      </c>
      <c r="C3749" s="1" t="s">
        <v>7952</v>
      </c>
      <c r="D3749" s="1" t="s">
        <v>7953</v>
      </c>
      <c r="E3749" s="1" t="s">
        <v>7960</v>
      </c>
      <c r="F3749" s="1" t="str">
        <f>HYPERLINK("https://talan.bank.gov.ua/get-user-certificate/J5325vuWT0gtLoh6SQ5t","Завантажити сертифікат")</f>
        <v>Завантажити сертифікат</v>
      </c>
    </row>
    <row r="3750" spans="1:6" ht="43.2" x14ac:dyDescent="0.3">
      <c r="A3750" s="2">
        <v>3749</v>
      </c>
      <c r="B3750" s="1" t="s">
        <v>7961</v>
      </c>
      <c r="C3750" s="1" t="s">
        <v>7952</v>
      </c>
      <c r="D3750" s="1" t="s">
        <v>7953</v>
      </c>
      <c r="E3750" s="1" t="s">
        <v>7962</v>
      </c>
      <c r="F3750" s="1" t="str">
        <f>HYPERLINK("https://talan.bank.gov.ua/get-user-certificate/J5325auUpNjNq8_7Ks5o","Завантажити сертифікат")</f>
        <v>Завантажити сертифікат</v>
      </c>
    </row>
    <row r="3751" spans="1:6" ht="43.2" x14ac:dyDescent="0.3">
      <c r="A3751" s="2">
        <v>3750</v>
      </c>
      <c r="B3751" s="1" t="s">
        <v>7963</v>
      </c>
      <c r="C3751" s="1" t="s">
        <v>7952</v>
      </c>
      <c r="D3751" s="1" t="s">
        <v>7953</v>
      </c>
      <c r="E3751" s="1" t="s">
        <v>7964</v>
      </c>
      <c r="F3751" s="1" t="str">
        <f>HYPERLINK("https://talan.bank.gov.ua/get-user-certificate/J5325feAHr3qAiWbms4l","Завантажити сертифікат")</f>
        <v>Завантажити сертифікат</v>
      </c>
    </row>
    <row r="3752" spans="1:6" ht="43.2" x14ac:dyDescent="0.3">
      <c r="A3752" s="2">
        <v>3751</v>
      </c>
      <c r="B3752" s="1" t="s">
        <v>7965</v>
      </c>
      <c r="C3752" s="1" t="s">
        <v>7952</v>
      </c>
      <c r="D3752" s="1" t="s">
        <v>7953</v>
      </c>
      <c r="E3752" s="1" t="s">
        <v>7966</v>
      </c>
      <c r="F3752" s="1" t="str">
        <f>HYPERLINK("https://talan.bank.gov.ua/get-user-certificate/J5325SfvmiQElXspH75-","Завантажити сертифікат")</f>
        <v>Завантажити сертифікат</v>
      </c>
    </row>
    <row r="3753" spans="1:6" ht="43.2" x14ac:dyDescent="0.3">
      <c r="A3753" s="2">
        <v>3752</v>
      </c>
      <c r="B3753" s="1" t="s">
        <v>7967</v>
      </c>
      <c r="C3753" s="1" t="s">
        <v>7952</v>
      </c>
      <c r="D3753" s="1" t="s">
        <v>7953</v>
      </c>
      <c r="E3753" s="1" t="s">
        <v>7968</v>
      </c>
      <c r="F3753" s="1" t="str">
        <f>HYPERLINK("https://talan.bank.gov.ua/get-user-certificate/J5325eYVh-4vbQXX8Fok","Завантажити сертифікат")</f>
        <v>Завантажити сертифікат</v>
      </c>
    </row>
    <row r="3754" spans="1:6" ht="43.2" x14ac:dyDescent="0.3">
      <c r="A3754" s="2">
        <v>3753</v>
      </c>
      <c r="B3754" s="1" t="s">
        <v>7969</v>
      </c>
      <c r="C3754" s="1" t="s">
        <v>7952</v>
      </c>
      <c r="D3754" s="1" t="s">
        <v>7953</v>
      </c>
      <c r="E3754" s="1" t="s">
        <v>7970</v>
      </c>
      <c r="F3754" s="1" t="str">
        <f>HYPERLINK("https://talan.bank.gov.ua/get-user-certificate/J5325j_thceMHkKZZ9Wy","Завантажити сертифікат")</f>
        <v>Завантажити сертифікат</v>
      </c>
    </row>
    <row r="3755" spans="1:6" ht="43.2" x14ac:dyDescent="0.3">
      <c r="A3755" s="2">
        <v>3754</v>
      </c>
      <c r="B3755" s="1" t="s">
        <v>7971</v>
      </c>
      <c r="C3755" s="1" t="s">
        <v>7952</v>
      </c>
      <c r="D3755" s="1" t="s">
        <v>7953</v>
      </c>
      <c r="E3755" s="1" t="s">
        <v>7972</v>
      </c>
      <c r="F3755" s="1" t="str">
        <f>HYPERLINK("https://talan.bank.gov.ua/get-user-certificate/J5325eAi3vZ_Y3tTo2Rb","Завантажити сертифікат")</f>
        <v>Завантажити сертифікат</v>
      </c>
    </row>
    <row r="3756" spans="1:6" ht="43.2" x14ac:dyDescent="0.3">
      <c r="A3756" s="2">
        <v>3755</v>
      </c>
      <c r="B3756" s="1" t="s">
        <v>7973</v>
      </c>
      <c r="C3756" s="1" t="s">
        <v>7952</v>
      </c>
      <c r="D3756" s="1" t="s">
        <v>7953</v>
      </c>
      <c r="E3756" s="1" t="s">
        <v>7974</v>
      </c>
      <c r="F3756" s="1" t="str">
        <f>HYPERLINK("https://talan.bank.gov.ua/get-user-certificate/J5325Bg5Cc7JmmU3gBam","Завантажити сертифікат")</f>
        <v>Завантажити сертифікат</v>
      </c>
    </row>
    <row r="3757" spans="1:6" ht="43.2" x14ac:dyDescent="0.3">
      <c r="A3757" s="2">
        <v>3756</v>
      </c>
      <c r="B3757" s="1" t="s">
        <v>7975</v>
      </c>
      <c r="C3757" s="1" t="s">
        <v>7952</v>
      </c>
      <c r="D3757" s="1" t="s">
        <v>7953</v>
      </c>
      <c r="E3757" s="1" t="s">
        <v>7976</v>
      </c>
      <c r="F3757" s="1" t="str">
        <f>HYPERLINK("https://talan.bank.gov.ua/get-user-certificate/J5325tJ6UOqb4kgqduWt","Завантажити сертифікат")</f>
        <v>Завантажити сертифікат</v>
      </c>
    </row>
    <row r="3758" spans="1:6" ht="43.2" x14ac:dyDescent="0.3">
      <c r="A3758" s="2">
        <v>3757</v>
      </c>
      <c r="B3758" s="1" t="s">
        <v>7977</v>
      </c>
      <c r="C3758" s="1" t="s">
        <v>7952</v>
      </c>
      <c r="D3758" s="1" t="s">
        <v>7953</v>
      </c>
      <c r="E3758" s="1" t="s">
        <v>7978</v>
      </c>
      <c r="F3758" s="1" t="str">
        <f>HYPERLINK("https://talan.bank.gov.ua/get-user-certificate/J5325TEsN1q9GfTkUSkh","Завантажити сертифікат")</f>
        <v>Завантажити сертифікат</v>
      </c>
    </row>
    <row r="3759" spans="1:6" ht="43.2" x14ac:dyDescent="0.3">
      <c r="A3759" s="2">
        <v>3758</v>
      </c>
      <c r="B3759" s="1" t="s">
        <v>7979</v>
      </c>
      <c r="C3759" s="1" t="s">
        <v>7952</v>
      </c>
      <c r="D3759" s="1" t="s">
        <v>7953</v>
      </c>
      <c r="E3759" s="1" t="s">
        <v>7980</v>
      </c>
      <c r="F3759" s="1" t="str">
        <f>HYPERLINK("https://talan.bank.gov.ua/get-user-certificate/J5325X7c8IhdaKJwVMNL","Завантажити сертифікат")</f>
        <v>Завантажити сертифікат</v>
      </c>
    </row>
    <row r="3760" spans="1:6" ht="43.2" x14ac:dyDescent="0.3">
      <c r="A3760" s="2">
        <v>3759</v>
      </c>
      <c r="B3760" s="1" t="s">
        <v>7981</v>
      </c>
      <c r="C3760" s="1" t="s">
        <v>7952</v>
      </c>
      <c r="D3760" s="1" t="s">
        <v>7953</v>
      </c>
      <c r="E3760" s="1" t="s">
        <v>7982</v>
      </c>
      <c r="F3760" s="1" t="str">
        <f>HYPERLINK("https://talan.bank.gov.ua/get-user-certificate/J5325cCs3p96Slzvwfig","Завантажити сертифікат")</f>
        <v>Завантажити сертифікат</v>
      </c>
    </row>
    <row r="3761" spans="1:6" ht="43.2" x14ac:dyDescent="0.3">
      <c r="A3761" s="2">
        <v>3760</v>
      </c>
      <c r="B3761" s="1" t="s">
        <v>7983</v>
      </c>
      <c r="C3761" s="1" t="s">
        <v>7952</v>
      </c>
      <c r="D3761" s="1" t="s">
        <v>7953</v>
      </c>
      <c r="E3761" s="1" t="s">
        <v>7984</v>
      </c>
      <c r="F3761" s="1" t="str">
        <f>HYPERLINK("https://talan.bank.gov.ua/get-user-certificate/J5325lDzAoIgOxmYqAR2","Завантажити сертифікат")</f>
        <v>Завантажити сертифікат</v>
      </c>
    </row>
    <row r="3762" spans="1:6" ht="43.2" x14ac:dyDescent="0.3">
      <c r="A3762" s="2">
        <v>3761</v>
      </c>
      <c r="B3762" s="1" t="s">
        <v>7985</v>
      </c>
      <c r="C3762" s="1" t="s">
        <v>7952</v>
      </c>
      <c r="D3762" s="1" t="s">
        <v>7953</v>
      </c>
      <c r="E3762" s="1" t="s">
        <v>7986</v>
      </c>
      <c r="F3762" s="1" t="str">
        <f>HYPERLINK("https://talan.bank.gov.ua/get-user-certificate/J5325VxUU3KD_fbE1m-Z","Завантажити сертифікат")</f>
        <v>Завантажити сертифікат</v>
      </c>
    </row>
    <row r="3763" spans="1:6" ht="43.2" x14ac:dyDescent="0.3">
      <c r="A3763" s="2">
        <v>3762</v>
      </c>
      <c r="B3763" s="1" t="s">
        <v>7987</v>
      </c>
      <c r="C3763" s="1" t="s">
        <v>7952</v>
      </c>
      <c r="D3763" s="1" t="s">
        <v>7953</v>
      </c>
      <c r="E3763" s="1" t="s">
        <v>7988</v>
      </c>
      <c r="F3763" s="1" t="str">
        <f>HYPERLINK("https://talan.bank.gov.ua/get-user-certificate/J5325xhwDy7WsP5IVhJe","Завантажити сертифікат")</f>
        <v>Завантажити сертифікат</v>
      </c>
    </row>
    <row r="3764" spans="1:6" ht="43.2" x14ac:dyDescent="0.3">
      <c r="A3764" s="2">
        <v>3763</v>
      </c>
      <c r="B3764" s="1" t="s">
        <v>7989</v>
      </c>
      <c r="C3764" s="1" t="s">
        <v>7952</v>
      </c>
      <c r="D3764" s="1" t="s">
        <v>7953</v>
      </c>
      <c r="E3764" s="1" t="s">
        <v>7990</v>
      </c>
      <c r="F3764" s="1" t="str">
        <f>HYPERLINK("https://talan.bank.gov.ua/get-user-certificate/J532520J9tgD69roHW3M","Завантажити сертифікат")</f>
        <v>Завантажити сертифікат</v>
      </c>
    </row>
    <row r="3765" spans="1:6" ht="43.2" x14ac:dyDescent="0.3">
      <c r="A3765" s="2">
        <v>3764</v>
      </c>
      <c r="B3765" s="1" t="s">
        <v>7991</v>
      </c>
      <c r="C3765" s="1" t="s">
        <v>7952</v>
      </c>
      <c r="D3765" s="1" t="s">
        <v>7953</v>
      </c>
      <c r="E3765" s="1" t="s">
        <v>7992</v>
      </c>
      <c r="F3765" s="1" t="str">
        <f>HYPERLINK("https://talan.bank.gov.ua/get-user-certificate/J5325kKgVtRHw50c4U0Z","Завантажити сертифікат")</f>
        <v>Завантажити сертифікат</v>
      </c>
    </row>
    <row r="3766" spans="1:6" ht="43.2" x14ac:dyDescent="0.3">
      <c r="A3766" s="2">
        <v>3765</v>
      </c>
      <c r="B3766" s="1" t="s">
        <v>7993</v>
      </c>
      <c r="C3766" s="1" t="s">
        <v>7952</v>
      </c>
      <c r="D3766" s="1" t="s">
        <v>7953</v>
      </c>
      <c r="E3766" s="1" t="s">
        <v>7994</v>
      </c>
      <c r="F3766" s="1" t="str">
        <f>HYPERLINK("https://talan.bank.gov.ua/get-user-certificate/J53250-AMFIdkOcHDpQ_","Завантажити сертифікат")</f>
        <v>Завантажити сертифікат</v>
      </c>
    </row>
    <row r="3767" spans="1:6" x14ac:dyDescent="0.3">
      <c r="A3767" s="2">
        <v>3766</v>
      </c>
      <c r="B3767" s="1" t="s">
        <v>7995</v>
      </c>
      <c r="C3767" s="1" t="s">
        <v>7996</v>
      </c>
      <c r="D3767" s="1" t="s">
        <v>7997</v>
      </c>
      <c r="E3767" s="1" t="s">
        <v>7998</v>
      </c>
      <c r="F3767" s="1" t="str">
        <f>HYPERLINK("https://talan.bank.gov.ua/get-user-certificate/J5325xs3DsruryKSEU3x","Завантажити сертифікат")</f>
        <v>Завантажити сертифікат</v>
      </c>
    </row>
    <row r="3768" spans="1:6" x14ac:dyDescent="0.3">
      <c r="A3768" s="2">
        <v>3767</v>
      </c>
      <c r="B3768" s="1" t="s">
        <v>7999</v>
      </c>
      <c r="C3768" s="1" t="s">
        <v>7996</v>
      </c>
      <c r="D3768" s="1" t="s">
        <v>7997</v>
      </c>
      <c r="E3768" s="1" t="s">
        <v>8000</v>
      </c>
      <c r="F3768" s="1" t="str">
        <f>HYPERLINK("https://talan.bank.gov.ua/get-user-certificate/J5325uJG-Fjaskkie6JG","Завантажити сертифікат")</f>
        <v>Завантажити сертифікат</v>
      </c>
    </row>
    <row r="3769" spans="1:6" x14ac:dyDescent="0.3">
      <c r="A3769" s="2">
        <v>3768</v>
      </c>
      <c r="B3769" s="1" t="s">
        <v>8001</v>
      </c>
      <c r="C3769" s="1" t="s">
        <v>7996</v>
      </c>
      <c r="D3769" s="1" t="s">
        <v>7997</v>
      </c>
      <c r="E3769" s="1" t="s">
        <v>8002</v>
      </c>
      <c r="F3769" s="1" t="str">
        <f>HYPERLINK("https://talan.bank.gov.ua/get-user-certificate/J5325Fp3rh8miDc6vXPl","Завантажити сертифікат")</f>
        <v>Завантажити сертифікат</v>
      </c>
    </row>
    <row r="3770" spans="1:6" x14ac:dyDescent="0.3">
      <c r="A3770" s="2">
        <v>3769</v>
      </c>
      <c r="B3770" s="1" t="s">
        <v>8003</v>
      </c>
      <c r="C3770" s="1" t="s">
        <v>7996</v>
      </c>
      <c r="D3770" s="1" t="s">
        <v>7997</v>
      </c>
      <c r="E3770" s="1" t="s">
        <v>8004</v>
      </c>
      <c r="F3770" s="1" t="str">
        <f>HYPERLINK("https://talan.bank.gov.ua/get-user-certificate/J53255G9dCuuHiRIbGD1","Завантажити сертифікат")</f>
        <v>Завантажити сертифікат</v>
      </c>
    </row>
    <row r="3771" spans="1:6" x14ac:dyDescent="0.3">
      <c r="A3771" s="2">
        <v>3770</v>
      </c>
      <c r="B3771" s="1" t="s">
        <v>8005</v>
      </c>
      <c r="C3771" s="1" t="s">
        <v>7996</v>
      </c>
      <c r="D3771" s="1" t="s">
        <v>7997</v>
      </c>
      <c r="E3771" s="1" t="s">
        <v>8006</v>
      </c>
      <c r="F3771" s="1" t="str">
        <f>HYPERLINK("https://talan.bank.gov.ua/get-user-certificate/J5325u3KMRI1vuOsntyC","Завантажити сертифікат")</f>
        <v>Завантажити сертифікат</v>
      </c>
    </row>
    <row r="3772" spans="1:6" x14ac:dyDescent="0.3">
      <c r="A3772" s="2">
        <v>3771</v>
      </c>
      <c r="B3772" s="1" t="s">
        <v>8007</v>
      </c>
      <c r="C3772" s="1" t="s">
        <v>7996</v>
      </c>
      <c r="D3772" s="1" t="s">
        <v>7997</v>
      </c>
      <c r="E3772" s="1" t="s">
        <v>8008</v>
      </c>
      <c r="F3772" s="1" t="str">
        <f>HYPERLINK("https://talan.bank.gov.ua/get-user-certificate/J5325ArXxmxbNR36bHlv","Завантажити сертифікат")</f>
        <v>Завантажити сертифікат</v>
      </c>
    </row>
    <row r="3773" spans="1:6" x14ac:dyDescent="0.3">
      <c r="A3773" s="2">
        <v>3772</v>
      </c>
      <c r="B3773" s="1" t="s">
        <v>8009</v>
      </c>
      <c r="C3773" s="1" t="s">
        <v>7996</v>
      </c>
      <c r="D3773" s="1" t="s">
        <v>7997</v>
      </c>
      <c r="E3773" s="1" t="s">
        <v>8010</v>
      </c>
      <c r="F3773" s="1" t="str">
        <f>HYPERLINK("https://talan.bank.gov.ua/get-user-certificate/J5325Wa1pDdBN3Shhwn3","Завантажити сертифікат")</f>
        <v>Завантажити сертифікат</v>
      </c>
    </row>
    <row r="3774" spans="1:6" x14ac:dyDescent="0.3">
      <c r="A3774" s="2">
        <v>3773</v>
      </c>
      <c r="B3774" s="1" t="s">
        <v>8011</v>
      </c>
      <c r="C3774" s="1" t="s">
        <v>7996</v>
      </c>
      <c r="D3774" s="1" t="s">
        <v>7997</v>
      </c>
      <c r="E3774" s="1" t="s">
        <v>8012</v>
      </c>
      <c r="F3774" s="1" t="str">
        <f>HYPERLINK("https://talan.bank.gov.ua/get-user-certificate/J5325ZnHICCw-IhPMkBx","Завантажити сертифікат")</f>
        <v>Завантажити сертифікат</v>
      </c>
    </row>
    <row r="3775" spans="1:6" x14ac:dyDescent="0.3">
      <c r="A3775" s="2">
        <v>3774</v>
      </c>
      <c r="B3775" s="1" t="s">
        <v>8013</v>
      </c>
      <c r="C3775" s="1" t="s">
        <v>7996</v>
      </c>
      <c r="D3775" s="1" t="s">
        <v>7997</v>
      </c>
      <c r="E3775" s="1" t="s">
        <v>8014</v>
      </c>
      <c r="F3775" s="1" t="str">
        <f>HYPERLINK("https://talan.bank.gov.ua/get-user-certificate/J5325CIXEJXSC4O_WYnx","Завантажити сертифікат")</f>
        <v>Завантажити сертифікат</v>
      </c>
    </row>
    <row r="3776" spans="1:6" x14ac:dyDescent="0.3">
      <c r="A3776" s="2">
        <v>3775</v>
      </c>
      <c r="B3776" s="1" t="s">
        <v>8015</v>
      </c>
      <c r="C3776" s="1" t="s">
        <v>7996</v>
      </c>
      <c r="D3776" s="1" t="s">
        <v>7997</v>
      </c>
      <c r="E3776" s="1" t="s">
        <v>8016</v>
      </c>
      <c r="F3776" s="1" t="str">
        <f>HYPERLINK("https://talan.bank.gov.ua/get-user-certificate/J5325dZxXeReFgc_J3Mr","Завантажити сертифікат")</f>
        <v>Завантажити сертифікат</v>
      </c>
    </row>
    <row r="3777" spans="1:6" x14ac:dyDescent="0.3">
      <c r="A3777" s="2">
        <v>3776</v>
      </c>
      <c r="B3777" s="1" t="s">
        <v>8017</v>
      </c>
      <c r="C3777" s="1" t="s">
        <v>7996</v>
      </c>
      <c r="D3777" s="1" t="s">
        <v>7997</v>
      </c>
      <c r="E3777" s="1" t="s">
        <v>8018</v>
      </c>
      <c r="F3777" s="1" t="str">
        <f>HYPERLINK("https://talan.bank.gov.ua/get-user-certificate/J5325HZnb3c9AdmMhXbS","Завантажити сертифікат")</f>
        <v>Завантажити сертифікат</v>
      </c>
    </row>
    <row r="3778" spans="1:6" x14ac:dyDescent="0.3">
      <c r="A3778" s="2">
        <v>3777</v>
      </c>
      <c r="B3778" s="1" t="s">
        <v>8019</v>
      </c>
      <c r="C3778" s="1" t="s">
        <v>7996</v>
      </c>
      <c r="D3778" s="1" t="s">
        <v>7997</v>
      </c>
      <c r="E3778" s="1" t="s">
        <v>8020</v>
      </c>
      <c r="F3778" s="1" t="str">
        <f>HYPERLINK("https://talan.bank.gov.ua/get-user-certificate/J5325vNAXKNnjyETL-Cf","Завантажити сертифікат")</f>
        <v>Завантажити сертифікат</v>
      </c>
    </row>
    <row r="3779" spans="1:6" x14ac:dyDescent="0.3">
      <c r="A3779" s="2">
        <v>3778</v>
      </c>
      <c r="B3779" s="1" t="s">
        <v>8021</v>
      </c>
      <c r="C3779" s="1" t="s">
        <v>7996</v>
      </c>
      <c r="D3779" s="1" t="s">
        <v>7997</v>
      </c>
      <c r="E3779" s="1" t="s">
        <v>8022</v>
      </c>
      <c r="F3779" s="1" t="str">
        <f>HYPERLINK("https://talan.bank.gov.ua/get-user-certificate/J5325_vUwIJUE-g8OqmL","Завантажити сертифікат")</f>
        <v>Завантажити сертифікат</v>
      </c>
    </row>
    <row r="3780" spans="1:6" x14ac:dyDescent="0.3">
      <c r="A3780" s="2">
        <v>3779</v>
      </c>
      <c r="B3780" s="1" t="s">
        <v>8023</v>
      </c>
      <c r="C3780" s="1" t="s">
        <v>7996</v>
      </c>
      <c r="D3780" s="1" t="s">
        <v>7997</v>
      </c>
      <c r="E3780" s="1" t="s">
        <v>8024</v>
      </c>
      <c r="F3780" s="1" t="str">
        <f>HYPERLINK("https://talan.bank.gov.ua/get-user-certificate/J5325d9q9dJN9gvZeILV","Завантажити сертифікат")</f>
        <v>Завантажити сертифікат</v>
      </c>
    </row>
    <row r="3781" spans="1:6" ht="28.8" x14ac:dyDescent="0.3">
      <c r="A3781" s="2">
        <v>3780</v>
      </c>
      <c r="B3781" s="1" t="s">
        <v>8025</v>
      </c>
      <c r="C3781" s="1" t="s">
        <v>7996</v>
      </c>
      <c r="D3781" s="1" t="s">
        <v>7997</v>
      </c>
      <c r="E3781" s="1" t="s">
        <v>8026</v>
      </c>
      <c r="F3781" s="1" t="str">
        <f>HYPERLINK("https://talan.bank.gov.ua/get-user-certificate/J5325UjCckw7XmUTNzq6","Завантажити сертифікат")</f>
        <v>Завантажити сертифікат</v>
      </c>
    </row>
    <row r="3782" spans="1:6" ht="28.8" x14ac:dyDescent="0.3">
      <c r="A3782" s="2">
        <v>3781</v>
      </c>
      <c r="B3782" s="1" t="s">
        <v>8027</v>
      </c>
      <c r="C3782" s="1" t="s">
        <v>7996</v>
      </c>
      <c r="D3782" s="1" t="s">
        <v>7997</v>
      </c>
      <c r="E3782" s="1" t="s">
        <v>8028</v>
      </c>
      <c r="F3782" s="1" t="str">
        <f>HYPERLINK("https://talan.bank.gov.ua/get-user-certificate/J5325Bkcl2wHFnxqveKS","Завантажити сертифікат")</f>
        <v>Завантажити сертифікат</v>
      </c>
    </row>
    <row r="3783" spans="1:6" x14ac:dyDescent="0.3">
      <c r="A3783" s="2">
        <v>3782</v>
      </c>
      <c r="B3783" s="1" t="s">
        <v>8029</v>
      </c>
      <c r="C3783" s="1" t="s">
        <v>7996</v>
      </c>
      <c r="D3783" s="1" t="s">
        <v>7997</v>
      </c>
      <c r="E3783" s="1" t="s">
        <v>8030</v>
      </c>
      <c r="F3783" s="1" t="str">
        <f>HYPERLINK("https://talan.bank.gov.ua/get-user-certificate/J5325t6k7pWKW5fnQvTN","Завантажити сертифікат")</f>
        <v>Завантажити сертифікат</v>
      </c>
    </row>
    <row r="3784" spans="1:6" x14ac:dyDescent="0.3">
      <c r="A3784" s="2">
        <v>3783</v>
      </c>
      <c r="B3784" s="1" t="s">
        <v>8031</v>
      </c>
      <c r="C3784" s="1" t="s">
        <v>7996</v>
      </c>
      <c r="D3784" s="1" t="s">
        <v>7997</v>
      </c>
      <c r="E3784" s="1" t="s">
        <v>8032</v>
      </c>
      <c r="F3784" s="1" t="str">
        <f>HYPERLINK("https://talan.bank.gov.ua/get-user-certificate/J5325ahtUGmxoplDQ7FC","Завантажити сертифікат")</f>
        <v>Завантажити сертифікат</v>
      </c>
    </row>
    <row r="3785" spans="1:6" x14ac:dyDescent="0.3">
      <c r="A3785" s="2">
        <v>3784</v>
      </c>
      <c r="B3785" s="1" t="s">
        <v>8033</v>
      </c>
      <c r="C3785" s="1" t="s">
        <v>7996</v>
      </c>
      <c r="D3785" s="1" t="s">
        <v>7997</v>
      </c>
      <c r="E3785" s="1" t="s">
        <v>8034</v>
      </c>
      <c r="F3785" s="1" t="str">
        <f>HYPERLINK("https://talan.bank.gov.ua/get-user-certificate/J5325t_lIoKbVe-9qwUr","Завантажити сертифікат")</f>
        <v>Завантажити сертифікат</v>
      </c>
    </row>
    <row r="3786" spans="1:6" x14ac:dyDescent="0.3">
      <c r="A3786" s="2">
        <v>3785</v>
      </c>
      <c r="B3786" s="1" t="s">
        <v>8035</v>
      </c>
      <c r="C3786" s="1" t="s">
        <v>7996</v>
      </c>
      <c r="D3786" s="1" t="s">
        <v>7997</v>
      </c>
      <c r="E3786" s="1" t="s">
        <v>8036</v>
      </c>
      <c r="F3786" s="1" t="str">
        <f>HYPERLINK("https://talan.bank.gov.ua/get-user-certificate/J5325t1Ndf97R3fHvH3U","Завантажити сертифікат")</f>
        <v>Завантажити сертифікат</v>
      </c>
    </row>
    <row r="3787" spans="1:6" x14ac:dyDescent="0.3">
      <c r="A3787" s="2">
        <v>3786</v>
      </c>
      <c r="B3787" s="1" t="s">
        <v>8037</v>
      </c>
      <c r="C3787" s="1" t="s">
        <v>7996</v>
      </c>
      <c r="D3787" s="1" t="s">
        <v>7997</v>
      </c>
      <c r="E3787" s="1" t="s">
        <v>8038</v>
      </c>
      <c r="F3787" s="1" t="str">
        <f>HYPERLINK("https://talan.bank.gov.ua/get-user-certificate/J53256up7w7fGozSZ2lw","Завантажити сертифікат")</f>
        <v>Завантажити сертифікат</v>
      </c>
    </row>
    <row r="3788" spans="1:6" x14ac:dyDescent="0.3">
      <c r="A3788" s="2">
        <v>3787</v>
      </c>
      <c r="B3788" s="1" t="s">
        <v>8039</v>
      </c>
      <c r="C3788" s="1" t="s">
        <v>7996</v>
      </c>
      <c r="D3788" s="1" t="s">
        <v>7997</v>
      </c>
      <c r="E3788" s="1" t="s">
        <v>8040</v>
      </c>
      <c r="F3788" s="1" t="str">
        <f>HYPERLINK("https://talan.bank.gov.ua/get-user-certificate/J5325VYzlfvkOfzAkeyn","Завантажити сертифікат")</f>
        <v>Завантажити сертифікат</v>
      </c>
    </row>
    <row r="3789" spans="1:6" x14ac:dyDescent="0.3">
      <c r="A3789" s="2">
        <v>3788</v>
      </c>
      <c r="B3789" s="1" t="s">
        <v>8041</v>
      </c>
      <c r="C3789" s="1" t="s">
        <v>7996</v>
      </c>
      <c r="D3789" s="1" t="s">
        <v>7997</v>
      </c>
      <c r="E3789" s="1" t="s">
        <v>8042</v>
      </c>
      <c r="F3789" s="1" t="str">
        <f>HYPERLINK("https://talan.bank.gov.ua/get-user-certificate/J5325a3GaYfSMA3__Af1","Завантажити сертифікат")</f>
        <v>Завантажити сертифікат</v>
      </c>
    </row>
    <row r="3790" spans="1:6" x14ac:dyDescent="0.3">
      <c r="A3790" s="2">
        <v>3789</v>
      </c>
      <c r="B3790" s="1" t="s">
        <v>8043</v>
      </c>
      <c r="C3790" s="1" t="s">
        <v>7996</v>
      </c>
      <c r="D3790" s="1" t="s">
        <v>7997</v>
      </c>
      <c r="E3790" s="1" t="s">
        <v>8044</v>
      </c>
      <c r="F3790" s="1" t="str">
        <f>HYPERLINK("https://talan.bank.gov.ua/get-user-certificate/J5325xgOIQUmyoIknz1O","Завантажити сертифікат")</f>
        <v>Завантажити сертифікат</v>
      </c>
    </row>
    <row r="3791" spans="1:6" x14ac:dyDescent="0.3">
      <c r="A3791" s="2">
        <v>3790</v>
      </c>
      <c r="B3791" s="1" t="s">
        <v>8045</v>
      </c>
      <c r="C3791" s="1" t="s">
        <v>7996</v>
      </c>
      <c r="D3791" s="1" t="s">
        <v>7997</v>
      </c>
      <c r="E3791" s="1" t="s">
        <v>8046</v>
      </c>
      <c r="F3791" s="1" t="str">
        <f>HYPERLINK("https://talan.bank.gov.ua/get-user-certificate/J53250bxHJZY6PAYG4YH","Завантажити сертифікат")</f>
        <v>Завантажити сертифікат</v>
      </c>
    </row>
    <row r="3792" spans="1:6" x14ac:dyDescent="0.3">
      <c r="A3792" s="2">
        <v>3791</v>
      </c>
      <c r="B3792" s="1" t="s">
        <v>8047</v>
      </c>
      <c r="C3792" s="1" t="s">
        <v>7996</v>
      </c>
      <c r="D3792" s="1" t="s">
        <v>7997</v>
      </c>
      <c r="E3792" s="1" t="s">
        <v>8048</v>
      </c>
      <c r="F3792" s="1" t="str">
        <f>HYPERLINK("https://talan.bank.gov.ua/get-user-certificate/J532562mIBgUl--qPJ0p","Завантажити сертифікат")</f>
        <v>Завантажити сертифікат</v>
      </c>
    </row>
    <row r="3793" spans="1:6" x14ac:dyDescent="0.3">
      <c r="A3793" s="2">
        <v>3792</v>
      </c>
      <c r="B3793" s="1" t="s">
        <v>8049</v>
      </c>
      <c r="C3793" s="1" t="s">
        <v>7996</v>
      </c>
      <c r="D3793" s="1" t="s">
        <v>7997</v>
      </c>
      <c r="E3793" s="1" t="s">
        <v>8050</v>
      </c>
      <c r="F3793" s="1" t="str">
        <f>HYPERLINK("https://talan.bank.gov.ua/get-user-certificate/J53258O3kSF1HQFroHYM","Завантажити сертифікат")</f>
        <v>Завантажити сертифікат</v>
      </c>
    </row>
    <row r="3794" spans="1:6" x14ac:dyDescent="0.3">
      <c r="A3794" s="2">
        <v>3793</v>
      </c>
      <c r="B3794" s="1" t="s">
        <v>8051</v>
      </c>
      <c r="C3794" s="1" t="s">
        <v>7996</v>
      </c>
      <c r="D3794" s="1" t="s">
        <v>7997</v>
      </c>
      <c r="E3794" s="1" t="s">
        <v>8052</v>
      </c>
      <c r="F3794" s="1" t="str">
        <f>HYPERLINK("https://talan.bank.gov.ua/get-user-certificate/J5325khg4EShjcVnFTiD","Завантажити сертифікат")</f>
        <v>Завантажити сертифікат</v>
      </c>
    </row>
    <row r="3795" spans="1:6" x14ac:dyDescent="0.3">
      <c r="A3795" s="2">
        <v>3794</v>
      </c>
      <c r="B3795" s="1" t="s">
        <v>8053</v>
      </c>
      <c r="C3795" s="1" t="s">
        <v>7996</v>
      </c>
      <c r="D3795" s="1" t="s">
        <v>7997</v>
      </c>
      <c r="E3795" s="1" t="s">
        <v>8054</v>
      </c>
      <c r="F3795" s="1" t="str">
        <f>HYPERLINK("https://talan.bank.gov.ua/get-user-certificate/J5325bsohq_EHBUCsEAR","Завантажити сертифікат")</f>
        <v>Завантажити сертифікат</v>
      </c>
    </row>
    <row r="3796" spans="1:6" x14ac:dyDescent="0.3">
      <c r="A3796" s="2">
        <v>3795</v>
      </c>
      <c r="B3796" s="1" t="s">
        <v>8055</v>
      </c>
      <c r="C3796" s="1" t="s">
        <v>7996</v>
      </c>
      <c r="D3796" s="1" t="s">
        <v>7997</v>
      </c>
      <c r="E3796" s="1" t="s">
        <v>8056</v>
      </c>
      <c r="F3796" s="1" t="str">
        <f>HYPERLINK("https://talan.bank.gov.ua/get-user-certificate/J5325yROSpX9-sFkjQcm","Завантажити сертифікат")</f>
        <v>Завантажити сертифікат</v>
      </c>
    </row>
    <row r="3797" spans="1:6" x14ac:dyDescent="0.3">
      <c r="A3797" s="2">
        <v>3796</v>
      </c>
      <c r="B3797" s="1" t="s">
        <v>8057</v>
      </c>
      <c r="C3797" s="1" t="s">
        <v>7996</v>
      </c>
      <c r="D3797" s="1" t="s">
        <v>7997</v>
      </c>
      <c r="E3797" s="1" t="s">
        <v>8058</v>
      </c>
      <c r="F3797" s="1" t="str">
        <f>HYPERLINK("https://talan.bank.gov.ua/get-user-certificate/J5325YY4XNuQnBOD79fF","Завантажити сертифікат")</f>
        <v>Завантажити сертифікат</v>
      </c>
    </row>
    <row r="3798" spans="1:6" x14ac:dyDescent="0.3">
      <c r="A3798" s="2">
        <v>3797</v>
      </c>
      <c r="B3798" s="1" t="s">
        <v>8059</v>
      </c>
      <c r="C3798" s="1" t="s">
        <v>7996</v>
      </c>
      <c r="D3798" s="1" t="s">
        <v>7997</v>
      </c>
      <c r="E3798" s="1" t="s">
        <v>8060</v>
      </c>
      <c r="F3798" s="1" t="str">
        <f>HYPERLINK("https://talan.bank.gov.ua/get-user-certificate/J5325H3a7XYp7b1ESuJs","Завантажити сертифікат")</f>
        <v>Завантажити сертифікат</v>
      </c>
    </row>
    <row r="3799" spans="1:6" x14ac:dyDescent="0.3">
      <c r="A3799" s="2">
        <v>3798</v>
      </c>
      <c r="B3799" s="1" t="s">
        <v>8061</v>
      </c>
      <c r="C3799" s="1" t="s">
        <v>7996</v>
      </c>
      <c r="D3799" s="1" t="s">
        <v>7997</v>
      </c>
      <c r="E3799" s="1" t="s">
        <v>8062</v>
      </c>
      <c r="F3799" s="1" t="str">
        <f>HYPERLINK("https://talan.bank.gov.ua/get-user-certificate/J5325Hm4txSVp6lNySq8","Завантажити сертифікат")</f>
        <v>Завантажити сертифікат</v>
      </c>
    </row>
    <row r="3800" spans="1:6" x14ac:dyDescent="0.3">
      <c r="A3800" s="2">
        <v>3799</v>
      </c>
      <c r="B3800" s="1" t="s">
        <v>8063</v>
      </c>
      <c r="C3800" s="1" t="s">
        <v>7996</v>
      </c>
      <c r="D3800" s="1" t="s">
        <v>7997</v>
      </c>
      <c r="E3800" s="1" t="s">
        <v>8064</v>
      </c>
      <c r="F3800" s="1" t="str">
        <f>HYPERLINK("https://talan.bank.gov.ua/get-user-certificate/J5325fHBZe63N-DaZwXa","Завантажити сертифікат")</f>
        <v>Завантажити сертифікат</v>
      </c>
    </row>
    <row r="3801" spans="1:6" x14ac:dyDescent="0.3">
      <c r="A3801" s="2">
        <v>3800</v>
      </c>
      <c r="B3801" s="1" t="s">
        <v>8065</v>
      </c>
      <c r="C3801" s="1" t="s">
        <v>7996</v>
      </c>
      <c r="D3801" s="1" t="s">
        <v>7997</v>
      </c>
      <c r="E3801" s="1" t="s">
        <v>8066</v>
      </c>
      <c r="F3801" s="1" t="str">
        <f>HYPERLINK("https://talan.bank.gov.ua/get-user-certificate/J5325pmrG6O2DzjCLAOq","Завантажити сертифікат")</f>
        <v>Завантажити сертифікат</v>
      </c>
    </row>
    <row r="3802" spans="1:6" x14ac:dyDescent="0.3">
      <c r="A3802" s="2">
        <v>3801</v>
      </c>
      <c r="B3802" s="1" t="s">
        <v>8067</v>
      </c>
      <c r="C3802" s="1" t="s">
        <v>7996</v>
      </c>
      <c r="D3802" s="1" t="s">
        <v>7997</v>
      </c>
      <c r="E3802" s="1" t="s">
        <v>8068</v>
      </c>
      <c r="F3802" s="1" t="str">
        <f>HYPERLINK("https://talan.bank.gov.ua/get-user-certificate/J5325DPk6I8Vd8ea2C47","Завантажити сертифікат")</f>
        <v>Завантажити сертифікат</v>
      </c>
    </row>
    <row r="3803" spans="1:6" x14ac:dyDescent="0.3">
      <c r="A3803" s="2">
        <v>3802</v>
      </c>
      <c r="B3803" s="1" t="s">
        <v>8069</v>
      </c>
      <c r="C3803" s="1" t="s">
        <v>7996</v>
      </c>
      <c r="D3803" s="1" t="s">
        <v>7997</v>
      </c>
      <c r="E3803" s="1" t="s">
        <v>8070</v>
      </c>
      <c r="F3803" s="1" t="str">
        <f>HYPERLINK("https://talan.bank.gov.ua/get-user-certificate/J5325rriYoMh8SXqrMTM","Завантажити сертифікат")</f>
        <v>Завантажити сертифікат</v>
      </c>
    </row>
    <row r="3804" spans="1:6" x14ac:dyDescent="0.3">
      <c r="A3804" s="2">
        <v>3803</v>
      </c>
      <c r="B3804" s="1" t="s">
        <v>8071</v>
      </c>
      <c r="C3804" s="1" t="s">
        <v>7996</v>
      </c>
      <c r="D3804" s="1" t="s">
        <v>7997</v>
      </c>
      <c r="E3804" s="1" t="s">
        <v>8072</v>
      </c>
      <c r="F3804" s="1" t="str">
        <f>HYPERLINK("https://talan.bank.gov.ua/get-user-certificate/J53255FnKK-NzS_M2t_9","Завантажити сертифікат")</f>
        <v>Завантажити сертифікат</v>
      </c>
    </row>
    <row r="3805" spans="1:6" x14ac:dyDescent="0.3">
      <c r="A3805" s="2">
        <v>3804</v>
      </c>
      <c r="B3805" s="1" t="s">
        <v>8073</v>
      </c>
      <c r="C3805" s="1" t="s">
        <v>7996</v>
      </c>
      <c r="D3805" s="1" t="s">
        <v>7997</v>
      </c>
      <c r="E3805" s="1" t="s">
        <v>8074</v>
      </c>
      <c r="F3805" s="1" t="str">
        <f>HYPERLINK("https://talan.bank.gov.ua/get-user-certificate/J5325vA4XP4wer-XGHMy","Завантажити сертифікат")</f>
        <v>Завантажити сертифікат</v>
      </c>
    </row>
    <row r="3806" spans="1:6" ht="28.8" x14ac:dyDescent="0.3">
      <c r="A3806" s="2">
        <v>3805</v>
      </c>
      <c r="B3806" s="1" t="s">
        <v>8075</v>
      </c>
      <c r="C3806" s="1" t="s">
        <v>7996</v>
      </c>
      <c r="D3806" s="1" t="s">
        <v>7997</v>
      </c>
      <c r="E3806" s="1" t="s">
        <v>8076</v>
      </c>
      <c r="F3806" s="1" t="str">
        <f>HYPERLINK("https://talan.bank.gov.ua/get-user-certificate/J5325WYCUzWL0E6vHwjZ","Завантажити сертифікат")</f>
        <v>Завантажити сертифікат</v>
      </c>
    </row>
    <row r="3807" spans="1:6" x14ac:dyDescent="0.3">
      <c r="A3807" s="2">
        <v>3806</v>
      </c>
      <c r="B3807" s="1" t="s">
        <v>8077</v>
      </c>
      <c r="C3807" s="1" t="s">
        <v>7996</v>
      </c>
      <c r="D3807" s="1" t="s">
        <v>7997</v>
      </c>
      <c r="E3807" s="1" t="s">
        <v>8078</v>
      </c>
      <c r="F3807" s="1" t="str">
        <f>HYPERLINK("https://talan.bank.gov.ua/get-user-certificate/J5325BYLuGSqA0O9mbmK","Завантажити сертифікат")</f>
        <v>Завантажити сертифікат</v>
      </c>
    </row>
    <row r="3808" spans="1:6" x14ac:dyDescent="0.3">
      <c r="A3808" s="2">
        <v>3807</v>
      </c>
      <c r="B3808" s="1" t="s">
        <v>8079</v>
      </c>
      <c r="C3808" s="1" t="s">
        <v>7996</v>
      </c>
      <c r="D3808" s="1" t="s">
        <v>7997</v>
      </c>
      <c r="E3808" s="1" t="s">
        <v>8080</v>
      </c>
      <c r="F3808" s="1" t="str">
        <f>HYPERLINK("https://talan.bank.gov.ua/get-user-certificate/J5325_u0dRr9ec_N8-I-","Завантажити сертифікат")</f>
        <v>Завантажити сертифікат</v>
      </c>
    </row>
    <row r="3809" spans="1:6" x14ac:dyDescent="0.3">
      <c r="A3809" s="2">
        <v>3808</v>
      </c>
      <c r="B3809" s="1" t="s">
        <v>8081</v>
      </c>
      <c r="C3809" s="1" t="s">
        <v>7996</v>
      </c>
      <c r="D3809" s="1" t="s">
        <v>7997</v>
      </c>
      <c r="E3809" s="1" t="s">
        <v>8082</v>
      </c>
      <c r="F3809" s="1" t="str">
        <f>HYPERLINK("https://talan.bank.gov.ua/get-user-certificate/J5325o_HzCbBZ5x3ZiQX","Завантажити сертифікат")</f>
        <v>Завантажити сертифікат</v>
      </c>
    </row>
    <row r="3810" spans="1:6" x14ac:dyDescent="0.3">
      <c r="A3810" s="2">
        <v>3809</v>
      </c>
      <c r="B3810" s="1" t="s">
        <v>8083</v>
      </c>
      <c r="C3810" s="1" t="s">
        <v>7996</v>
      </c>
      <c r="D3810" s="1" t="s">
        <v>7997</v>
      </c>
      <c r="E3810" s="1" t="s">
        <v>8084</v>
      </c>
      <c r="F3810" s="1" t="str">
        <f>HYPERLINK("https://talan.bank.gov.ua/get-user-certificate/J5325iaTE6Ogr0aGmZzG","Завантажити сертифікат")</f>
        <v>Завантажити сертифікат</v>
      </c>
    </row>
    <row r="3811" spans="1:6" x14ac:dyDescent="0.3">
      <c r="A3811" s="2">
        <v>3810</v>
      </c>
      <c r="B3811" s="1" t="s">
        <v>8085</v>
      </c>
      <c r="C3811" s="1" t="s">
        <v>7996</v>
      </c>
      <c r="D3811" s="1" t="s">
        <v>7997</v>
      </c>
      <c r="E3811" s="1" t="s">
        <v>8086</v>
      </c>
      <c r="F3811" s="1" t="str">
        <f>HYPERLINK("https://talan.bank.gov.ua/get-user-certificate/J5325U77fEZVD6mCGSxA","Завантажити сертифікат")</f>
        <v>Завантажити сертифікат</v>
      </c>
    </row>
    <row r="3812" spans="1:6" x14ac:dyDescent="0.3">
      <c r="A3812" s="2">
        <v>3811</v>
      </c>
      <c r="B3812" s="1" t="s">
        <v>8087</v>
      </c>
      <c r="C3812" s="1" t="s">
        <v>7996</v>
      </c>
      <c r="D3812" s="1" t="s">
        <v>7997</v>
      </c>
      <c r="E3812" s="1" t="s">
        <v>8088</v>
      </c>
      <c r="F3812" s="1" t="str">
        <f>HYPERLINK("https://talan.bank.gov.ua/get-user-certificate/J5325sCAaTxpyIO6FJCp","Завантажити сертифікат")</f>
        <v>Завантажити сертифікат</v>
      </c>
    </row>
    <row r="3813" spans="1:6" x14ac:dyDescent="0.3">
      <c r="A3813" s="2">
        <v>3812</v>
      </c>
      <c r="B3813" s="1" t="s">
        <v>8089</v>
      </c>
      <c r="C3813" s="1" t="s">
        <v>7996</v>
      </c>
      <c r="D3813" s="1" t="s">
        <v>7997</v>
      </c>
      <c r="E3813" s="1" t="s">
        <v>8090</v>
      </c>
      <c r="F3813" s="1" t="str">
        <f>HYPERLINK("https://talan.bank.gov.ua/get-user-certificate/J532512nfd6eu-DBr2G_","Завантажити сертифікат")</f>
        <v>Завантажити сертифікат</v>
      </c>
    </row>
    <row r="3814" spans="1:6" x14ac:dyDescent="0.3">
      <c r="A3814" s="2">
        <v>3813</v>
      </c>
      <c r="B3814" s="1" t="s">
        <v>8091</v>
      </c>
      <c r="C3814" s="1" t="s">
        <v>7996</v>
      </c>
      <c r="D3814" s="1" t="s">
        <v>7997</v>
      </c>
      <c r="E3814" s="1" t="s">
        <v>8092</v>
      </c>
      <c r="F3814" s="1" t="str">
        <f>HYPERLINK("https://talan.bank.gov.ua/get-user-certificate/J5325yCRS1-VRpd13EOM","Завантажити сертифікат")</f>
        <v>Завантажити сертифікат</v>
      </c>
    </row>
    <row r="3815" spans="1:6" x14ac:dyDescent="0.3">
      <c r="A3815" s="2">
        <v>3814</v>
      </c>
      <c r="B3815" s="1" t="s">
        <v>8093</v>
      </c>
      <c r="C3815" s="1" t="s">
        <v>7996</v>
      </c>
      <c r="D3815" s="1" t="s">
        <v>7997</v>
      </c>
      <c r="E3815" s="1" t="s">
        <v>8094</v>
      </c>
      <c r="F3815" s="1" t="str">
        <f>HYPERLINK("https://talan.bank.gov.ua/get-user-certificate/J5325XvTctIOBwvb-_Tb","Завантажити сертифікат")</f>
        <v>Завантажити сертифікат</v>
      </c>
    </row>
    <row r="3816" spans="1:6" x14ac:dyDescent="0.3">
      <c r="A3816" s="2">
        <v>3815</v>
      </c>
      <c r="B3816" s="1" t="s">
        <v>8095</v>
      </c>
      <c r="C3816" s="1" t="s">
        <v>7996</v>
      </c>
      <c r="D3816" s="1" t="s">
        <v>7997</v>
      </c>
      <c r="E3816" s="1" t="s">
        <v>8096</v>
      </c>
      <c r="F3816" s="1" t="str">
        <f>HYPERLINK("https://talan.bank.gov.ua/get-user-certificate/J5325WqbuTKSFneWCZln","Завантажити сертифікат")</f>
        <v>Завантажити сертифікат</v>
      </c>
    </row>
    <row r="3817" spans="1:6" ht="28.8" x14ac:dyDescent="0.3">
      <c r="A3817" s="2">
        <v>3816</v>
      </c>
      <c r="B3817" s="1" t="s">
        <v>8097</v>
      </c>
      <c r="C3817" s="1" t="s">
        <v>8098</v>
      </c>
      <c r="D3817" s="1" t="s">
        <v>8099</v>
      </c>
      <c r="E3817" s="1" t="s">
        <v>8100</v>
      </c>
      <c r="F3817" s="1" t="str">
        <f>HYPERLINK("https://talan.bank.gov.ua/get-user-certificate/J5325tfnuNcOYAgM0YR2","Завантажити сертифікат")</f>
        <v>Завантажити сертифікат</v>
      </c>
    </row>
    <row r="3818" spans="1:6" ht="28.8" x14ac:dyDescent="0.3">
      <c r="A3818" s="2">
        <v>3817</v>
      </c>
      <c r="B3818" s="1" t="s">
        <v>8101</v>
      </c>
      <c r="C3818" s="1" t="s">
        <v>8098</v>
      </c>
      <c r="D3818" s="1" t="s">
        <v>8099</v>
      </c>
      <c r="E3818" s="1" t="s">
        <v>8102</v>
      </c>
      <c r="F3818" s="1" t="str">
        <f>HYPERLINK("https://talan.bank.gov.ua/get-user-certificate/J5325JN0DJYfIrAgTN61","Завантажити сертифікат")</f>
        <v>Завантажити сертифікат</v>
      </c>
    </row>
    <row r="3819" spans="1:6" ht="28.8" x14ac:dyDescent="0.3">
      <c r="A3819" s="2">
        <v>3818</v>
      </c>
      <c r="B3819" s="1" t="s">
        <v>8103</v>
      </c>
      <c r="C3819" s="1" t="s">
        <v>8098</v>
      </c>
      <c r="D3819" s="1" t="s">
        <v>8099</v>
      </c>
      <c r="E3819" s="1" t="s">
        <v>8104</v>
      </c>
      <c r="F3819" s="1" t="str">
        <f>HYPERLINK("https://talan.bank.gov.ua/get-user-certificate/J5325G24Yn5FQJkOl-aR","Завантажити сертифікат")</f>
        <v>Завантажити сертифікат</v>
      </c>
    </row>
    <row r="3820" spans="1:6" ht="28.8" x14ac:dyDescent="0.3">
      <c r="A3820" s="2">
        <v>3819</v>
      </c>
      <c r="B3820" s="1" t="s">
        <v>8105</v>
      </c>
      <c r="C3820" s="1" t="s">
        <v>8098</v>
      </c>
      <c r="D3820" s="1" t="s">
        <v>8099</v>
      </c>
      <c r="E3820" s="1" t="s">
        <v>8106</v>
      </c>
      <c r="F3820" s="1" t="str">
        <f>HYPERLINK("https://talan.bank.gov.ua/get-user-certificate/J5325xWeZLEmw9npb3U7","Завантажити сертифікат")</f>
        <v>Завантажити сертифікат</v>
      </c>
    </row>
    <row r="3821" spans="1:6" ht="28.8" x14ac:dyDescent="0.3">
      <c r="A3821" s="2">
        <v>3820</v>
      </c>
      <c r="B3821" s="1" t="s">
        <v>8107</v>
      </c>
      <c r="C3821" s="1" t="s">
        <v>8098</v>
      </c>
      <c r="D3821" s="1" t="s">
        <v>8099</v>
      </c>
      <c r="E3821" s="1" t="s">
        <v>8108</v>
      </c>
      <c r="F3821" s="1" t="str">
        <f>HYPERLINK("https://talan.bank.gov.ua/get-user-certificate/J5325tEbZMjCtlQGWk0b","Завантажити сертифікат")</f>
        <v>Завантажити сертифікат</v>
      </c>
    </row>
    <row r="3822" spans="1:6" ht="28.8" x14ac:dyDescent="0.3">
      <c r="A3822" s="2">
        <v>3821</v>
      </c>
      <c r="B3822" s="1" t="s">
        <v>8109</v>
      </c>
      <c r="C3822" s="1" t="s">
        <v>8098</v>
      </c>
      <c r="D3822" s="1" t="s">
        <v>8099</v>
      </c>
      <c r="E3822" s="1" t="s">
        <v>8110</v>
      </c>
      <c r="F3822" s="1" t="str">
        <f>HYPERLINK("https://talan.bank.gov.ua/get-user-certificate/J5325eiTTIRCFvwCPslg","Завантажити сертифікат")</f>
        <v>Завантажити сертифікат</v>
      </c>
    </row>
    <row r="3823" spans="1:6" ht="28.8" x14ac:dyDescent="0.3">
      <c r="A3823" s="2">
        <v>3822</v>
      </c>
      <c r="B3823" s="1" t="s">
        <v>8111</v>
      </c>
      <c r="C3823" s="1" t="s">
        <v>8098</v>
      </c>
      <c r="D3823" s="1" t="s">
        <v>8099</v>
      </c>
      <c r="E3823" s="1" t="s">
        <v>8112</v>
      </c>
      <c r="F3823" s="1" t="str">
        <f>HYPERLINK("https://talan.bank.gov.ua/get-user-certificate/J5325lp0X6RWp3c6r9MK","Завантажити сертифікат")</f>
        <v>Завантажити сертифікат</v>
      </c>
    </row>
    <row r="3824" spans="1:6" ht="28.8" x14ac:dyDescent="0.3">
      <c r="A3824" s="2">
        <v>3823</v>
      </c>
      <c r="B3824" s="1" t="s">
        <v>8113</v>
      </c>
      <c r="C3824" s="1" t="s">
        <v>8098</v>
      </c>
      <c r="D3824" s="1" t="s">
        <v>8099</v>
      </c>
      <c r="E3824" s="1" t="s">
        <v>8114</v>
      </c>
      <c r="F3824" s="1" t="str">
        <f>HYPERLINK("https://talan.bank.gov.ua/get-user-certificate/J53258hzvEw35l9cGKql","Завантажити сертифікат")</f>
        <v>Завантажити сертифікат</v>
      </c>
    </row>
    <row r="3825" spans="1:6" ht="28.8" x14ac:dyDescent="0.3">
      <c r="A3825" s="2">
        <v>3824</v>
      </c>
      <c r="B3825" s="1" t="s">
        <v>8115</v>
      </c>
      <c r="C3825" s="1" t="s">
        <v>8098</v>
      </c>
      <c r="D3825" s="1" t="s">
        <v>8099</v>
      </c>
      <c r="E3825" s="1" t="s">
        <v>8116</v>
      </c>
      <c r="F3825" s="1" t="str">
        <f>HYPERLINK("https://talan.bank.gov.ua/get-user-certificate/J5325mrOlF27GOj2iQgx","Завантажити сертифікат")</f>
        <v>Завантажити сертифікат</v>
      </c>
    </row>
    <row r="3826" spans="1:6" ht="28.8" x14ac:dyDescent="0.3">
      <c r="A3826" s="2">
        <v>3825</v>
      </c>
      <c r="B3826" s="1" t="s">
        <v>8117</v>
      </c>
      <c r="C3826" s="1" t="s">
        <v>8098</v>
      </c>
      <c r="D3826" s="1" t="s">
        <v>8099</v>
      </c>
      <c r="E3826" s="1" t="s">
        <v>8118</v>
      </c>
      <c r="F3826" s="1" t="str">
        <f>HYPERLINK("https://talan.bank.gov.ua/get-user-certificate/J5325EZEpPXn3jKY1KgJ","Завантажити сертифікат")</f>
        <v>Завантажити сертифікат</v>
      </c>
    </row>
    <row r="3827" spans="1:6" ht="28.8" x14ac:dyDescent="0.3">
      <c r="A3827" s="2">
        <v>3826</v>
      </c>
      <c r="B3827" s="1" t="s">
        <v>8119</v>
      </c>
      <c r="C3827" s="1" t="s">
        <v>8098</v>
      </c>
      <c r="D3827" s="1" t="s">
        <v>8099</v>
      </c>
      <c r="E3827" s="1" t="s">
        <v>8120</v>
      </c>
      <c r="F3827" s="1" t="str">
        <f>HYPERLINK("https://talan.bank.gov.ua/get-user-certificate/J53258h1kIT85JPczgeS","Завантажити сертифікат")</f>
        <v>Завантажити сертифікат</v>
      </c>
    </row>
    <row r="3828" spans="1:6" ht="28.8" x14ac:dyDescent="0.3">
      <c r="A3828" s="2">
        <v>3827</v>
      </c>
      <c r="B3828" s="1" t="s">
        <v>8121</v>
      </c>
      <c r="C3828" s="1" t="s">
        <v>8122</v>
      </c>
      <c r="D3828" s="1" t="s">
        <v>8123</v>
      </c>
      <c r="E3828" s="1" t="s">
        <v>8124</v>
      </c>
      <c r="F3828" s="1" t="str">
        <f>HYPERLINK("https://talan.bank.gov.ua/get-user-certificate/J53258K0aUol_zudyzY6","Завантажити сертифікат")</f>
        <v>Завантажити сертифікат</v>
      </c>
    </row>
    <row r="3829" spans="1:6" ht="28.8" x14ac:dyDescent="0.3">
      <c r="A3829" s="2">
        <v>3828</v>
      </c>
      <c r="B3829" s="1" t="s">
        <v>8125</v>
      </c>
      <c r="C3829" s="1" t="s">
        <v>8122</v>
      </c>
      <c r="D3829" s="1" t="s">
        <v>8123</v>
      </c>
      <c r="E3829" s="1" t="s">
        <v>8126</v>
      </c>
      <c r="F3829" s="1" t="str">
        <f>HYPERLINK("https://talan.bank.gov.ua/get-user-certificate/J53259F8_tItg64HNXAl","Завантажити сертифікат")</f>
        <v>Завантажити сертифікат</v>
      </c>
    </row>
    <row r="3830" spans="1:6" ht="28.8" x14ac:dyDescent="0.3">
      <c r="A3830" s="2">
        <v>3829</v>
      </c>
      <c r="B3830" s="1" t="s">
        <v>8127</v>
      </c>
      <c r="C3830" s="1" t="s">
        <v>8122</v>
      </c>
      <c r="D3830" s="1" t="s">
        <v>8123</v>
      </c>
      <c r="E3830" s="1" t="s">
        <v>8128</v>
      </c>
      <c r="F3830" s="1" t="str">
        <f>HYPERLINK("https://talan.bank.gov.ua/get-user-certificate/J5325RHRzMz3uyViOfKV","Завантажити сертифікат")</f>
        <v>Завантажити сертифікат</v>
      </c>
    </row>
    <row r="3831" spans="1:6" x14ac:dyDescent="0.3">
      <c r="A3831" s="2">
        <v>3830</v>
      </c>
      <c r="B3831" s="1" t="s">
        <v>8129</v>
      </c>
      <c r="C3831" s="1" t="s">
        <v>8130</v>
      </c>
      <c r="D3831" s="1" t="s">
        <v>8131</v>
      </c>
      <c r="E3831" s="1" t="s">
        <v>8132</v>
      </c>
      <c r="F3831" s="1" t="str">
        <f>HYPERLINK("https://talan.bank.gov.ua/get-user-certificate/J5325AIgHMCTWP9PrwXz","Завантажити сертифікат")</f>
        <v>Завантажити сертифікат</v>
      </c>
    </row>
    <row r="3832" spans="1:6" x14ac:dyDescent="0.3">
      <c r="A3832" s="2">
        <v>3831</v>
      </c>
      <c r="B3832" s="1" t="s">
        <v>8133</v>
      </c>
      <c r="C3832" s="1" t="s">
        <v>8130</v>
      </c>
      <c r="D3832" s="1" t="s">
        <v>8131</v>
      </c>
      <c r="E3832" s="1" t="s">
        <v>8134</v>
      </c>
      <c r="F3832" s="1" t="str">
        <f>HYPERLINK("https://talan.bank.gov.ua/get-user-certificate/J5325hYBlFhg31GpVB9s","Завантажити сертифікат")</f>
        <v>Завантажити сертифікат</v>
      </c>
    </row>
    <row r="3833" spans="1:6" x14ac:dyDescent="0.3">
      <c r="A3833" s="2">
        <v>3832</v>
      </c>
      <c r="B3833" s="1" t="s">
        <v>8135</v>
      </c>
      <c r="C3833" s="1" t="s">
        <v>8130</v>
      </c>
      <c r="D3833" s="1" t="s">
        <v>8131</v>
      </c>
      <c r="E3833" s="1" t="s">
        <v>8136</v>
      </c>
      <c r="F3833" s="1" t="str">
        <f>HYPERLINK("https://talan.bank.gov.ua/get-user-certificate/J5325ObA9_sMs74JjDHR","Завантажити сертифікат")</f>
        <v>Завантажити сертифікат</v>
      </c>
    </row>
    <row r="3834" spans="1:6" x14ac:dyDescent="0.3">
      <c r="A3834" s="2">
        <v>3833</v>
      </c>
      <c r="B3834" s="1" t="s">
        <v>8137</v>
      </c>
      <c r="C3834" s="1" t="s">
        <v>8130</v>
      </c>
      <c r="D3834" s="1" t="s">
        <v>8131</v>
      </c>
      <c r="E3834" s="1" t="s">
        <v>8138</v>
      </c>
      <c r="F3834" s="1" t="str">
        <f>HYPERLINK("https://talan.bank.gov.ua/get-user-certificate/J5325YcLL9v8eHpPxYpw","Завантажити сертифікат")</f>
        <v>Завантажити сертифікат</v>
      </c>
    </row>
    <row r="3835" spans="1:6" ht="28.8" x14ac:dyDescent="0.3">
      <c r="A3835" s="2">
        <v>3834</v>
      </c>
      <c r="B3835" s="1" t="s">
        <v>8139</v>
      </c>
      <c r="C3835" s="1" t="s">
        <v>8140</v>
      </c>
      <c r="D3835" s="1" t="s">
        <v>8141</v>
      </c>
      <c r="E3835" s="1" t="s">
        <v>8142</v>
      </c>
      <c r="F3835" s="1" t="str">
        <f>HYPERLINK("https://talan.bank.gov.ua/get-user-certificate/J5325qDBEa7tgvibfMb9","Завантажити сертифікат")</f>
        <v>Завантажити сертифікат</v>
      </c>
    </row>
    <row r="3836" spans="1:6" ht="28.8" x14ac:dyDescent="0.3">
      <c r="A3836" s="2">
        <v>3835</v>
      </c>
      <c r="B3836" s="1" t="s">
        <v>8143</v>
      </c>
      <c r="C3836" s="1" t="s">
        <v>8140</v>
      </c>
      <c r="D3836" s="1" t="s">
        <v>8141</v>
      </c>
      <c r="E3836" s="1" t="s">
        <v>8144</v>
      </c>
      <c r="F3836" s="1" t="str">
        <f>HYPERLINK("https://talan.bank.gov.ua/get-user-certificate/J53255vVNy0hydYFGpja","Завантажити сертифікат")</f>
        <v>Завантажити сертифікат</v>
      </c>
    </row>
    <row r="3837" spans="1:6" ht="28.8" x14ac:dyDescent="0.3">
      <c r="A3837" s="2">
        <v>3836</v>
      </c>
      <c r="B3837" s="1" t="s">
        <v>8145</v>
      </c>
      <c r="C3837" s="1" t="s">
        <v>8140</v>
      </c>
      <c r="D3837" s="1" t="s">
        <v>8141</v>
      </c>
      <c r="E3837" s="1" t="s">
        <v>8146</v>
      </c>
      <c r="F3837" s="1" t="str">
        <f>HYPERLINK("https://talan.bank.gov.ua/get-user-certificate/J53251it9JobNn1D3v5h","Завантажити сертифікат")</f>
        <v>Завантажити сертифікат</v>
      </c>
    </row>
    <row r="3838" spans="1:6" ht="28.8" x14ac:dyDescent="0.3">
      <c r="A3838" s="2">
        <v>3837</v>
      </c>
      <c r="B3838" s="1" t="s">
        <v>8147</v>
      </c>
      <c r="C3838" s="1" t="s">
        <v>8140</v>
      </c>
      <c r="D3838" s="1" t="s">
        <v>8141</v>
      </c>
      <c r="E3838" s="1" t="s">
        <v>8148</v>
      </c>
      <c r="F3838" s="1" t="str">
        <f>HYPERLINK("https://talan.bank.gov.ua/get-user-certificate/J5325i3ZunpciKF3zJng","Завантажити сертифікат")</f>
        <v>Завантажити сертифікат</v>
      </c>
    </row>
    <row r="3839" spans="1:6" ht="28.8" x14ac:dyDescent="0.3">
      <c r="A3839" s="2">
        <v>3838</v>
      </c>
      <c r="B3839" s="1" t="s">
        <v>8149</v>
      </c>
      <c r="C3839" s="1" t="s">
        <v>8140</v>
      </c>
      <c r="D3839" s="1" t="s">
        <v>8141</v>
      </c>
      <c r="E3839" s="1" t="s">
        <v>8150</v>
      </c>
      <c r="F3839" s="1" t="str">
        <f>HYPERLINK("https://talan.bank.gov.ua/get-user-certificate/J53257gS-cKNirU72orb","Завантажити сертифікат")</f>
        <v>Завантажити сертифікат</v>
      </c>
    </row>
    <row r="3840" spans="1:6" ht="28.8" x14ac:dyDescent="0.3">
      <c r="A3840" s="2">
        <v>3839</v>
      </c>
      <c r="B3840" s="1" t="s">
        <v>8151</v>
      </c>
      <c r="C3840" s="1" t="s">
        <v>8140</v>
      </c>
      <c r="D3840" s="1" t="s">
        <v>8141</v>
      </c>
      <c r="E3840" s="1" t="s">
        <v>8152</v>
      </c>
      <c r="F3840" s="1" t="str">
        <f>HYPERLINK("https://talan.bank.gov.ua/get-user-certificate/J532592fHPMh1HJ18_FW","Завантажити сертифікат")</f>
        <v>Завантажити сертифікат</v>
      </c>
    </row>
    <row r="3841" spans="1:6" ht="28.8" x14ac:dyDescent="0.3">
      <c r="A3841" s="2">
        <v>3840</v>
      </c>
      <c r="B3841" s="1" t="s">
        <v>8153</v>
      </c>
      <c r="C3841" s="1" t="s">
        <v>8140</v>
      </c>
      <c r="D3841" s="1" t="s">
        <v>8141</v>
      </c>
      <c r="E3841" s="1" t="s">
        <v>8154</v>
      </c>
      <c r="F3841" s="1" t="str">
        <f>HYPERLINK("https://talan.bank.gov.ua/get-user-certificate/J532514oll0LKg99eP2p","Завантажити сертифікат")</f>
        <v>Завантажити сертифікат</v>
      </c>
    </row>
    <row r="3842" spans="1:6" ht="28.8" x14ac:dyDescent="0.3">
      <c r="A3842" s="2">
        <v>3841</v>
      </c>
      <c r="B3842" s="1" t="s">
        <v>8155</v>
      </c>
      <c r="C3842" s="1" t="s">
        <v>8140</v>
      </c>
      <c r="D3842" s="1" t="s">
        <v>8141</v>
      </c>
      <c r="E3842" s="1" t="s">
        <v>8156</v>
      </c>
      <c r="F3842" s="1" t="str">
        <f>HYPERLINK("https://talan.bank.gov.ua/get-user-certificate/J5325R1BBqaEtCMDDK0h","Завантажити сертифікат")</f>
        <v>Завантажити сертифікат</v>
      </c>
    </row>
    <row r="3843" spans="1:6" ht="28.8" x14ac:dyDescent="0.3">
      <c r="A3843" s="2">
        <v>3842</v>
      </c>
      <c r="B3843" s="1" t="s">
        <v>8157</v>
      </c>
      <c r="C3843" s="1" t="s">
        <v>8140</v>
      </c>
      <c r="D3843" s="1" t="s">
        <v>8141</v>
      </c>
      <c r="E3843" s="1" t="s">
        <v>8158</v>
      </c>
      <c r="F3843" s="1" t="str">
        <f>HYPERLINK("https://talan.bank.gov.ua/get-user-certificate/J53258sFfeAtEoJB_P4R","Завантажити сертифікат")</f>
        <v>Завантажити сертифікат</v>
      </c>
    </row>
    <row r="3844" spans="1:6" ht="28.8" x14ac:dyDescent="0.3">
      <c r="A3844" s="2">
        <v>3843</v>
      </c>
      <c r="B3844" s="1" t="s">
        <v>8159</v>
      </c>
      <c r="C3844" s="1" t="s">
        <v>8140</v>
      </c>
      <c r="D3844" s="1" t="s">
        <v>8141</v>
      </c>
      <c r="E3844" s="1" t="s">
        <v>8160</v>
      </c>
      <c r="F3844" s="1" t="str">
        <f>HYPERLINK("https://talan.bank.gov.ua/get-user-certificate/J5325OWhGzIYt_gNA9vg","Завантажити сертифікат")</f>
        <v>Завантажити сертифікат</v>
      </c>
    </row>
    <row r="3845" spans="1:6" ht="28.8" x14ac:dyDescent="0.3">
      <c r="A3845" s="2">
        <v>3844</v>
      </c>
      <c r="B3845" s="1" t="s">
        <v>8161</v>
      </c>
      <c r="C3845" s="1" t="s">
        <v>8140</v>
      </c>
      <c r="D3845" s="1" t="s">
        <v>8141</v>
      </c>
      <c r="E3845" s="1" t="s">
        <v>8156</v>
      </c>
      <c r="F3845" s="1" t="str">
        <f>HYPERLINK("https://talan.bank.gov.ua/get-user-certificate/J5325FXHX-J-gZPAy-l7","Завантажити сертифікат")</f>
        <v>Завантажити сертифікат</v>
      </c>
    </row>
    <row r="3846" spans="1:6" ht="28.8" x14ac:dyDescent="0.3">
      <c r="A3846" s="2">
        <v>3845</v>
      </c>
      <c r="B3846" s="1" t="s">
        <v>8162</v>
      </c>
      <c r="C3846" s="1" t="s">
        <v>8140</v>
      </c>
      <c r="D3846" s="1" t="s">
        <v>8141</v>
      </c>
      <c r="E3846" s="1" t="s">
        <v>8163</v>
      </c>
      <c r="F3846" s="1" t="str">
        <f>HYPERLINK("https://talan.bank.gov.ua/get-user-certificate/J5325q3yNzOi9dymAauj","Завантажити сертифікат")</f>
        <v>Завантажити сертифікат</v>
      </c>
    </row>
    <row r="3847" spans="1:6" ht="28.8" x14ac:dyDescent="0.3">
      <c r="A3847" s="2">
        <v>3846</v>
      </c>
      <c r="B3847" s="1" t="s">
        <v>8164</v>
      </c>
      <c r="C3847" s="1" t="s">
        <v>8140</v>
      </c>
      <c r="D3847" s="1" t="s">
        <v>8141</v>
      </c>
      <c r="E3847" s="1" t="s">
        <v>8165</v>
      </c>
      <c r="F3847" s="1" t="str">
        <f>HYPERLINK("https://talan.bank.gov.ua/get-user-certificate/J5325FFOJvvsOFaxoiYV","Завантажити сертифікат")</f>
        <v>Завантажити сертифікат</v>
      </c>
    </row>
    <row r="3848" spans="1:6" ht="28.8" x14ac:dyDescent="0.3">
      <c r="A3848" s="2">
        <v>3847</v>
      </c>
      <c r="B3848" s="1" t="s">
        <v>8166</v>
      </c>
      <c r="C3848" s="1" t="s">
        <v>8140</v>
      </c>
      <c r="D3848" s="1" t="s">
        <v>8141</v>
      </c>
      <c r="E3848" s="1" t="s">
        <v>8167</v>
      </c>
      <c r="F3848" s="1" t="str">
        <f>HYPERLINK("https://talan.bank.gov.ua/get-user-certificate/J53258aBHVLa9GTGPk7B","Завантажити сертифікат")</f>
        <v>Завантажити сертифікат</v>
      </c>
    </row>
    <row r="3849" spans="1:6" ht="28.8" x14ac:dyDescent="0.3">
      <c r="A3849" s="2">
        <v>3848</v>
      </c>
      <c r="B3849" s="1" t="s">
        <v>8168</v>
      </c>
      <c r="C3849" s="1" t="s">
        <v>8140</v>
      </c>
      <c r="D3849" s="1" t="s">
        <v>8141</v>
      </c>
      <c r="E3849" s="1" t="s">
        <v>8169</v>
      </c>
      <c r="F3849" s="1" t="str">
        <f>HYPERLINK("https://talan.bank.gov.ua/get-user-certificate/J5325qsYVzqB09XOm7Bk","Завантажити сертифікат")</f>
        <v>Завантажити сертифікат</v>
      </c>
    </row>
    <row r="3850" spans="1:6" ht="28.8" x14ac:dyDescent="0.3">
      <c r="A3850" s="2">
        <v>3849</v>
      </c>
      <c r="B3850" s="1" t="s">
        <v>8170</v>
      </c>
      <c r="C3850" s="1" t="s">
        <v>8140</v>
      </c>
      <c r="D3850" s="1" t="s">
        <v>8141</v>
      </c>
      <c r="E3850" s="1" t="s">
        <v>8171</v>
      </c>
      <c r="F3850" s="1" t="str">
        <f>HYPERLINK("https://talan.bank.gov.ua/get-user-certificate/J5325pwLOl7CRrXPkGbR","Завантажити сертифікат")</f>
        <v>Завантажити сертифікат</v>
      </c>
    </row>
    <row r="3851" spans="1:6" ht="28.8" x14ac:dyDescent="0.3">
      <c r="A3851" s="2">
        <v>3850</v>
      </c>
      <c r="B3851" s="1" t="s">
        <v>8172</v>
      </c>
      <c r="C3851" s="1" t="s">
        <v>8140</v>
      </c>
      <c r="D3851" s="1" t="s">
        <v>8141</v>
      </c>
      <c r="E3851" s="1" t="s">
        <v>8173</v>
      </c>
      <c r="F3851" s="1" t="str">
        <f>HYPERLINK("https://talan.bank.gov.ua/get-user-certificate/J5325YaARB76hYHRsori","Завантажити сертифікат")</f>
        <v>Завантажити сертифікат</v>
      </c>
    </row>
    <row r="3852" spans="1:6" ht="28.8" x14ac:dyDescent="0.3">
      <c r="A3852" s="2">
        <v>3851</v>
      </c>
      <c r="B3852" s="1" t="s">
        <v>8174</v>
      </c>
      <c r="C3852" s="1" t="s">
        <v>8140</v>
      </c>
      <c r="D3852" s="1" t="s">
        <v>8141</v>
      </c>
      <c r="E3852" s="1" t="s">
        <v>8175</v>
      </c>
      <c r="F3852" s="1" t="str">
        <f>HYPERLINK("https://talan.bank.gov.ua/get-user-certificate/J5325M9XNS0MEyC7_CHH","Завантажити сертифікат")</f>
        <v>Завантажити сертифікат</v>
      </c>
    </row>
    <row r="3853" spans="1:6" ht="28.8" x14ac:dyDescent="0.3">
      <c r="A3853" s="2">
        <v>3852</v>
      </c>
      <c r="B3853" s="1" t="s">
        <v>8176</v>
      </c>
      <c r="C3853" s="1" t="s">
        <v>8140</v>
      </c>
      <c r="D3853" s="1" t="s">
        <v>8141</v>
      </c>
      <c r="E3853" s="1" t="s">
        <v>8177</v>
      </c>
      <c r="F3853" s="1" t="str">
        <f>HYPERLINK("https://talan.bank.gov.ua/get-user-certificate/J5325gemiTEJZZNDJ25N","Завантажити сертифікат")</f>
        <v>Завантажити сертифікат</v>
      </c>
    </row>
    <row r="3854" spans="1:6" ht="28.8" x14ac:dyDescent="0.3">
      <c r="A3854" s="2">
        <v>3853</v>
      </c>
      <c r="B3854" s="1" t="s">
        <v>8178</v>
      </c>
      <c r="C3854" s="1" t="s">
        <v>8140</v>
      </c>
      <c r="D3854" s="1" t="s">
        <v>8141</v>
      </c>
      <c r="E3854" s="1" t="s">
        <v>8179</v>
      </c>
      <c r="F3854" s="1" t="str">
        <f>HYPERLINK("https://talan.bank.gov.ua/get-user-certificate/J5325tE4KYnuywL7hsx8","Завантажити сертифікат")</f>
        <v>Завантажити сертифікат</v>
      </c>
    </row>
    <row r="3855" spans="1:6" ht="28.8" x14ac:dyDescent="0.3">
      <c r="A3855" s="2">
        <v>3854</v>
      </c>
      <c r="B3855" s="1" t="s">
        <v>8180</v>
      </c>
      <c r="C3855" s="1" t="s">
        <v>8140</v>
      </c>
      <c r="D3855" s="1" t="s">
        <v>8141</v>
      </c>
      <c r="E3855" s="1" t="s">
        <v>8181</v>
      </c>
      <c r="F3855" s="1" t="str">
        <f>HYPERLINK("https://talan.bank.gov.ua/get-user-certificate/J5325uRxXejQvwa0GPrn","Завантажити сертифікат")</f>
        <v>Завантажити сертифікат</v>
      </c>
    </row>
    <row r="3856" spans="1:6" ht="28.8" x14ac:dyDescent="0.3">
      <c r="A3856" s="2">
        <v>3855</v>
      </c>
      <c r="B3856" s="1" t="s">
        <v>8182</v>
      </c>
      <c r="C3856" s="1" t="s">
        <v>8140</v>
      </c>
      <c r="D3856" s="1" t="s">
        <v>8141</v>
      </c>
      <c r="E3856" s="1" t="s">
        <v>8183</v>
      </c>
      <c r="F3856" s="1" t="str">
        <f>HYPERLINK("https://talan.bank.gov.ua/get-user-certificate/J5325C7Uvf41qAzB0WNT","Завантажити сертифікат")</f>
        <v>Завантажити сертифікат</v>
      </c>
    </row>
    <row r="3857" spans="1:6" ht="28.8" x14ac:dyDescent="0.3">
      <c r="A3857" s="2">
        <v>3856</v>
      </c>
      <c r="B3857" s="1" t="s">
        <v>8184</v>
      </c>
      <c r="C3857" s="1" t="s">
        <v>8140</v>
      </c>
      <c r="D3857" s="1" t="s">
        <v>8141</v>
      </c>
      <c r="E3857" s="1" t="s">
        <v>8185</v>
      </c>
      <c r="F3857" s="1" t="str">
        <f>HYPERLINK("https://talan.bank.gov.ua/get-user-certificate/J5325q4Pgu6TpRXzxyLC","Завантажити сертифікат")</f>
        <v>Завантажити сертифікат</v>
      </c>
    </row>
    <row r="3858" spans="1:6" ht="28.8" x14ac:dyDescent="0.3">
      <c r="A3858" s="2">
        <v>3857</v>
      </c>
      <c r="B3858" s="1" t="s">
        <v>8186</v>
      </c>
      <c r="C3858" s="1" t="s">
        <v>8140</v>
      </c>
      <c r="D3858" s="1" t="s">
        <v>8141</v>
      </c>
      <c r="E3858" s="1" t="s">
        <v>8187</v>
      </c>
      <c r="F3858" s="1" t="str">
        <f>HYPERLINK("https://talan.bank.gov.ua/get-user-certificate/J5325yhkwki9RIsDivbm","Завантажити сертифікат")</f>
        <v>Завантажити сертифікат</v>
      </c>
    </row>
    <row r="3859" spans="1:6" ht="28.8" x14ac:dyDescent="0.3">
      <c r="A3859" s="2">
        <v>3858</v>
      </c>
      <c r="B3859" s="1" t="s">
        <v>8188</v>
      </c>
      <c r="C3859" s="1" t="s">
        <v>8140</v>
      </c>
      <c r="D3859" s="1" t="s">
        <v>8141</v>
      </c>
      <c r="E3859" s="1" t="s">
        <v>8189</v>
      </c>
      <c r="F3859" s="1" t="str">
        <f>HYPERLINK("https://talan.bank.gov.ua/get-user-certificate/J5325PTAKYslrHKEmBgZ","Завантажити сертифікат")</f>
        <v>Завантажити сертифікат</v>
      </c>
    </row>
    <row r="3860" spans="1:6" ht="28.8" x14ac:dyDescent="0.3">
      <c r="A3860" s="2">
        <v>3859</v>
      </c>
      <c r="B3860" s="1" t="s">
        <v>8190</v>
      </c>
      <c r="C3860" s="1" t="s">
        <v>8191</v>
      </c>
      <c r="D3860" s="1" t="s">
        <v>8192</v>
      </c>
      <c r="E3860" s="1" t="s">
        <v>8193</v>
      </c>
      <c r="F3860" s="1" t="str">
        <f>HYPERLINK("https://talan.bank.gov.ua/get-user-certificate/J5325IzBU1K8jEpUXxM2","Завантажити сертифікат")</f>
        <v>Завантажити сертифікат</v>
      </c>
    </row>
    <row r="3861" spans="1:6" ht="28.8" x14ac:dyDescent="0.3">
      <c r="A3861" s="2">
        <v>3860</v>
      </c>
      <c r="B3861" s="1" t="s">
        <v>8194</v>
      </c>
      <c r="C3861" s="1" t="s">
        <v>8191</v>
      </c>
      <c r="D3861" s="1" t="s">
        <v>8192</v>
      </c>
      <c r="E3861" s="1" t="s">
        <v>8195</v>
      </c>
      <c r="F3861" s="1" t="str">
        <f>HYPERLINK("https://talan.bank.gov.ua/get-user-certificate/J5325agetB4rB0o81caD","Завантажити сертифікат")</f>
        <v>Завантажити сертифікат</v>
      </c>
    </row>
    <row r="3862" spans="1:6" ht="28.8" x14ac:dyDescent="0.3">
      <c r="A3862" s="2">
        <v>3861</v>
      </c>
      <c r="B3862" s="1" t="s">
        <v>8196</v>
      </c>
      <c r="C3862" s="1" t="s">
        <v>8191</v>
      </c>
      <c r="D3862" s="1" t="s">
        <v>8192</v>
      </c>
      <c r="E3862" s="1" t="s">
        <v>8197</v>
      </c>
      <c r="F3862" s="1" t="str">
        <f>HYPERLINK("https://talan.bank.gov.ua/get-user-certificate/J5325g7l7xwv0oVzIhrK","Завантажити сертифікат")</f>
        <v>Завантажити сертифікат</v>
      </c>
    </row>
    <row r="3863" spans="1:6" ht="28.8" x14ac:dyDescent="0.3">
      <c r="A3863" s="2">
        <v>3862</v>
      </c>
      <c r="B3863" s="1" t="s">
        <v>8198</v>
      </c>
      <c r="C3863" s="1" t="s">
        <v>8191</v>
      </c>
      <c r="D3863" s="1" t="s">
        <v>8192</v>
      </c>
      <c r="E3863" s="1" t="s">
        <v>8199</v>
      </c>
      <c r="F3863" s="1" t="str">
        <f>HYPERLINK("https://talan.bank.gov.ua/get-user-certificate/J5325eCd7tSPvbT1F4H9","Завантажити сертифікат")</f>
        <v>Завантажити сертифікат</v>
      </c>
    </row>
    <row r="3864" spans="1:6" ht="28.8" x14ac:dyDescent="0.3">
      <c r="A3864" s="2">
        <v>3863</v>
      </c>
      <c r="B3864" s="1" t="s">
        <v>8200</v>
      </c>
      <c r="C3864" s="1" t="s">
        <v>8191</v>
      </c>
      <c r="D3864" s="1" t="s">
        <v>8192</v>
      </c>
      <c r="E3864" s="1" t="s">
        <v>8201</v>
      </c>
      <c r="F3864" s="1" t="str">
        <f>HYPERLINK("https://talan.bank.gov.ua/get-user-certificate/J5325qsnh5eJaNDaHrkN","Завантажити сертифікат")</f>
        <v>Завантажити сертифікат</v>
      </c>
    </row>
    <row r="3865" spans="1:6" ht="28.8" x14ac:dyDescent="0.3">
      <c r="A3865" s="2">
        <v>3864</v>
      </c>
      <c r="B3865" s="1" t="s">
        <v>8202</v>
      </c>
      <c r="C3865" s="1" t="s">
        <v>8191</v>
      </c>
      <c r="D3865" s="1" t="s">
        <v>8192</v>
      </c>
      <c r="E3865" s="1" t="s">
        <v>8203</v>
      </c>
      <c r="F3865" s="1" t="str">
        <f>HYPERLINK("https://talan.bank.gov.ua/get-user-certificate/J5325c6X_7axQlCHNIRD","Завантажити сертифікат")</f>
        <v>Завантажити сертифікат</v>
      </c>
    </row>
    <row r="3866" spans="1:6" ht="28.8" x14ac:dyDescent="0.3">
      <c r="A3866" s="2">
        <v>3865</v>
      </c>
      <c r="B3866" s="1" t="s">
        <v>8204</v>
      </c>
      <c r="C3866" s="1" t="s">
        <v>8191</v>
      </c>
      <c r="D3866" s="1" t="s">
        <v>8192</v>
      </c>
      <c r="E3866" s="1" t="s">
        <v>8205</v>
      </c>
      <c r="F3866" s="1" t="str">
        <f>HYPERLINK("https://talan.bank.gov.ua/get-user-certificate/J5325HjgnL0mJrCdpcSa","Завантажити сертифікат")</f>
        <v>Завантажити сертифікат</v>
      </c>
    </row>
    <row r="3867" spans="1:6" ht="28.8" x14ac:dyDescent="0.3">
      <c r="A3867" s="2">
        <v>3866</v>
      </c>
      <c r="B3867" s="1" t="s">
        <v>8206</v>
      </c>
      <c r="C3867" s="1" t="s">
        <v>8191</v>
      </c>
      <c r="D3867" s="1" t="s">
        <v>8192</v>
      </c>
      <c r="E3867" s="1" t="s">
        <v>8207</v>
      </c>
      <c r="F3867" s="1" t="str">
        <f>HYPERLINK("https://talan.bank.gov.ua/get-user-certificate/J5325RN8Hf528SlrVmA4","Завантажити сертифікат")</f>
        <v>Завантажити сертифікат</v>
      </c>
    </row>
    <row r="3868" spans="1:6" ht="28.8" x14ac:dyDescent="0.3">
      <c r="A3868" s="2">
        <v>3867</v>
      </c>
      <c r="B3868" s="1" t="s">
        <v>8208</v>
      </c>
      <c r="C3868" s="1" t="s">
        <v>8191</v>
      </c>
      <c r="D3868" s="1" t="s">
        <v>8192</v>
      </c>
      <c r="E3868" s="1" t="s">
        <v>8209</v>
      </c>
      <c r="F3868" s="1" t="str">
        <f>HYPERLINK("https://talan.bank.gov.ua/get-user-certificate/J5325jOo8_-bEo8RPJGD","Завантажити сертифікат")</f>
        <v>Завантажити сертифікат</v>
      </c>
    </row>
    <row r="3869" spans="1:6" ht="28.8" x14ac:dyDescent="0.3">
      <c r="A3869" s="2">
        <v>3868</v>
      </c>
      <c r="B3869" s="1" t="s">
        <v>8210</v>
      </c>
      <c r="C3869" s="1" t="s">
        <v>8191</v>
      </c>
      <c r="D3869" s="1" t="s">
        <v>8192</v>
      </c>
      <c r="E3869" s="1" t="s">
        <v>8211</v>
      </c>
      <c r="F3869" s="1" t="str">
        <f>HYPERLINK("https://talan.bank.gov.ua/get-user-certificate/J53255TlRePQ942tKKiC","Завантажити сертифікат")</f>
        <v>Завантажити сертифікат</v>
      </c>
    </row>
    <row r="3870" spans="1:6" ht="28.8" x14ac:dyDescent="0.3">
      <c r="A3870" s="2">
        <v>3869</v>
      </c>
      <c r="B3870" s="1" t="s">
        <v>8212</v>
      </c>
      <c r="C3870" s="1" t="s">
        <v>8191</v>
      </c>
      <c r="D3870" s="1" t="s">
        <v>8192</v>
      </c>
      <c r="E3870" s="1" t="s">
        <v>8213</v>
      </c>
      <c r="F3870" s="1" t="str">
        <f>HYPERLINK("https://talan.bank.gov.ua/get-user-certificate/J5325hnUV8wL4syiHzXm","Завантажити сертифікат")</f>
        <v>Завантажити сертифікат</v>
      </c>
    </row>
    <row r="3871" spans="1:6" ht="28.8" x14ac:dyDescent="0.3">
      <c r="A3871" s="2">
        <v>3870</v>
      </c>
      <c r="B3871" s="1" t="s">
        <v>8214</v>
      </c>
      <c r="C3871" s="1" t="s">
        <v>8191</v>
      </c>
      <c r="D3871" s="1" t="s">
        <v>8192</v>
      </c>
      <c r="E3871" s="1" t="s">
        <v>8215</v>
      </c>
      <c r="F3871" s="1" t="str">
        <f>HYPERLINK("https://talan.bank.gov.ua/get-user-certificate/J5325l9KsktRrR3VFHAC","Завантажити сертифікат")</f>
        <v>Завантажити сертифікат</v>
      </c>
    </row>
    <row r="3872" spans="1:6" ht="28.8" x14ac:dyDescent="0.3">
      <c r="A3872" s="2">
        <v>3871</v>
      </c>
      <c r="B3872" s="1" t="s">
        <v>8216</v>
      </c>
      <c r="C3872" s="1" t="s">
        <v>8191</v>
      </c>
      <c r="D3872" s="1" t="s">
        <v>8192</v>
      </c>
      <c r="E3872" s="1" t="s">
        <v>8217</v>
      </c>
      <c r="F3872" s="1" t="str">
        <f>HYPERLINK("https://talan.bank.gov.ua/get-user-certificate/J5325uEmWxytM3Br91vD","Завантажити сертифікат")</f>
        <v>Завантажити сертифікат</v>
      </c>
    </row>
    <row r="3873" spans="1:6" ht="28.8" x14ac:dyDescent="0.3">
      <c r="A3873" s="2">
        <v>3872</v>
      </c>
      <c r="B3873" s="1" t="s">
        <v>8218</v>
      </c>
      <c r="C3873" s="1" t="s">
        <v>8191</v>
      </c>
      <c r="D3873" s="1" t="s">
        <v>8192</v>
      </c>
      <c r="E3873" s="1" t="s">
        <v>8219</v>
      </c>
      <c r="F3873" s="1" t="str">
        <f>HYPERLINK("https://talan.bank.gov.ua/get-user-certificate/J53256XdLZto2r0fJemF","Завантажити сертифікат")</f>
        <v>Завантажити сертифікат</v>
      </c>
    </row>
    <row r="3874" spans="1:6" ht="28.8" x14ac:dyDescent="0.3">
      <c r="A3874" s="2">
        <v>3873</v>
      </c>
      <c r="B3874" s="1" t="s">
        <v>8220</v>
      </c>
      <c r="C3874" s="1" t="s">
        <v>8191</v>
      </c>
      <c r="D3874" s="1" t="s">
        <v>8192</v>
      </c>
      <c r="E3874" s="1" t="s">
        <v>8221</v>
      </c>
      <c r="F3874" s="1" t="str">
        <f>HYPERLINK("https://talan.bank.gov.ua/get-user-certificate/J53253BhaGr1lXqagOvT","Завантажити сертифікат")</f>
        <v>Завантажити сертифікат</v>
      </c>
    </row>
    <row r="3875" spans="1:6" ht="28.8" x14ac:dyDescent="0.3">
      <c r="A3875" s="2">
        <v>3874</v>
      </c>
      <c r="B3875" s="1" t="s">
        <v>8222</v>
      </c>
      <c r="C3875" s="1" t="s">
        <v>8191</v>
      </c>
      <c r="D3875" s="1" t="s">
        <v>8192</v>
      </c>
      <c r="E3875" s="1" t="s">
        <v>8223</v>
      </c>
      <c r="F3875" s="1" t="str">
        <f>HYPERLINK("https://talan.bank.gov.ua/get-user-certificate/J5325k9jKWw6KjtA0aWY","Завантажити сертифікат")</f>
        <v>Завантажити сертифікат</v>
      </c>
    </row>
    <row r="3876" spans="1:6" ht="28.8" x14ac:dyDescent="0.3">
      <c r="A3876" s="2">
        <v>3875</v>
      </c>
      <c r="B3876" s="1" t="s">
        <v>8224</v>
      </c>
      <c r="C3876" s="1" t="s">
        <v>8191</v>
      </c>
      <c r="D3876" s="1" t="s">
        <v>8192</v>
      </c>
      <c r="E3876" s="1" t="s">
        <v>8225</v>
      </c>
      <c r="F3876" s="1" t="str">
        <f>HYPERLINK("https://talan.bank.gov.ua/get-user-certificate/J53252XlnMetCWoAAjP2","Завантажити сертифікат")</f>
        <v>Завантажити сертифікат</v>
      </c>
    </row>
    <row r="3877" spans="1:6" ht="28.8" x14ac:dyDescent="0.3">
      <c r="A3877" s="2">
        <v>3876</v>
      </c>
      <c r="B3877" s="1" t="s">
        <v>8226</v>
      </c>
      <c r="C3877" s="1" t="s">
        <v>8191</v>
      </c>
      <c r="D3877" s="1" t="s">
        <v>8192</v>
      </c>
      <c r="E3877" s="1" t="s">
        <v>8227</v>
      </c>
      <c r="F3877" s="1" t="str">
        <f>HYPERLINK("https://talan.bank.gov.ua/get-user-certificate/J5325aJHS3q-4205YOVA","Завантажити сертифікат")</f>
        <v>Завантажити сертифікат</v>
      </c>
    </row>
    <row r="3878" spans="1:6" ht="28.8" x14ac:dyDescent="0.3">
      <c r="A3878" s="2">
        <v>3877</v>
      </c>
      <c r="B3878" s="1" t="s">
        <v>8228</v>
      </c>
      <c r="C3878" s="1" t="s">
        <v>8191</v>
      </c>
      <c r="D3878" s="1" t="s">
        <v>8192</v>
      </c>
      <c r="E3878" s="1" t="s">
        <v>8229</v>
      </c>
      <c r="F3878" s="1" t="str">
        <f>HYPERLINK("https://talan.bank.gov.ua/get-user-certificate/J5325AGjMpy2el7ZRSjK","Завантажити сертифікат")</f>
        <v>Завантажити сертифікат</v>
      </c>
    </row>
    <row r="3879" spans="1:6" ht="28.8" x14ac:dyDescent="0.3">
      <c r="A3879" s="2">
        <v>3878</v>
      </c>
      <c r="B3879" s="1" t="s">
        <v>8230</v>
      </c>
      <c r="C3879" s="1" t="s">
        <v>8191</v>
      </c>
      <c r="D3879" s="1" t="s">
        <v>8192</v>
      </c>
      <c r="E3879" s="1" t="s">
        <v>8231</v>
      </c>
      <c r="F3879" s="1" t="str">
        <f>HYPERLINK("https://talan.bank.gov.ua/get-user-certificate/J5325AowXsO0ww5fMB7n","Завантажити сертифікат")</f>
        <v>Завантажити сертифікат</v>
      </c>
    </row>
    <row r="3880" spans="1:6" ht="28.8" x14ac:dyDescent="0.3">
      <c r="A3880" s="2">
        <v>3879</v>
      </c>
      <c r="B3880" s="1" t="s">
        <v>8232</v>
      </c>
      <c r="C3880" s="1" t="s">
        <v>8191</v>
      </c>
      <c r="D3880" s="1" t="s">
        <v>8192</v>
      </c>
      <c r="E3880" s="1" t="s">
        <v>8233</v>
      </c>
      <c r="F3880" s="1" t="str">
        <f>HYPERLINK("https://talan.bank.gov.ua/get-user-certificate/J5325U_tDrTzO3CKqV4U","Завантажити сертифікат")</f>
        <v>Завантажити сертифікат</v>
      </c>
    </row>
    <row r="3881" spans="1:6" ht="28.8" x14ac:dyDescent="0.3">
      <c r="A3881" s="2">
        <v>3880</v>
      </c>
      <c r="B3881" s="1" t="s">
        <v>8234</v>
      </c>
      <c r="C3881" s="1" t="s">
        <v>8191</v>
      </c>
      <c r="D3881" s="1" t="s">
        <v>8192</v>
      </c>
      <c r="E3881" s="1" t="s">
        <v>8235</v>
      </c>
      <c r="F3881" s="1" t="str">
        <f>HYPERLINK("https://talan.bank.gov.ua/get-user-certificate/J5325BQO8rVKJJfwzazG","Завантажити сертифікат")</f>
        <v>Завантажити сертифікат</v>
      </c>
    </row>
    <row r="3882" spans="1:6" ht="28.8" x14ac:dyDescent="0.3">
      <c r="A3882" s="2">
        <v>3881</v>
      </c>
      <c r="B3882" s="1" t="s">
        <v>8236</v>
      </c>
      <c r="C3882" s="1" t="s">
        <v>8191</v>
      </c>
      <c r="D3882" s="1" t="s">
        <v>8192</v>
      </c>
      <c r="E3882" s="1" t="s">
        <v>8237</v>
      </c>
      <c r="F3882" s="1" t="str">
        <f>HYPERLINK("https://talan.bank.gov.ua/get-user-certificate/J5325nLFst_d728J6i0R","Завантажити сертифікат")</f>
        <v>Завантажити сертифікат</v>
      </c>
    </row>
    <row r="3883" spans="1:6" ht="28.8" x14ac:dyDescent="0.3">
      <c r="A3883" s="2">
        <v>3882</v>
      </c>
      <c r="B3883" s="1" t="s">
        <v>8238</v>
      </c>
      <c r="C3883" s="1" t="s">
        <v>8191</v>
      </c>
      <c r="D3883" s="1" t="s">
        <v>8192</v>
      </c>
      <c r="E3883" s="1" t="s">
        <v>8239</v>
      </c>
      <c r="F3883" s="1" t="str">
        <f>HYPERLINK("https://talan.bank.gov.ua/get-user-certificate/J5325u1ociOOfMONXJ5e","Завантажити сертифікат")</f>
        <v>Завантажити сертифікат</v>
      </c>
    </row>
    <row r="3884" spans="1:6" ht="28.8" x14ac:dyDescent="0.3">
      <c r="A3884" s="2">
        <v>3883</v>
      </c>
      <c r="B3884" s="1" t="s">
        <v>8240</v>
      </c>
      <c r="C3884" s="1" t="s">
        <v>8191</v>
      </c>
      <c r="D3884" s="1" t="s">
        <v>8192</v>
      </c>
      <c r="E3884" s="1" t="s">
        <v>8241</v>
      </c>
      <c r="F3884" s="1" t="str">
        <f>HYPERLINK("https://talan.bank.gov.ua/get-user-certificate/J5325NchDlBMIM9-uKWD","Завантажити сертифікат")</f>
        <v>Завантажити сертифікат</v>
      </c>
    </row>
    <row r="3885" spans="1:6" ht="28.8" x14ac:dyDescent="0.3">
      <c r="A3885" s="2">
        <v>3884</v>
      </c>
      <c r="B3885" s="1" t="s">
        <v>8242</v>
      </c>
      <c r="C3885" s="1" t="s">
        <v>8191</v>
      </c>
      <c r="D3885" s="1" t="s">
        <v>8192</v>
      </c>
      <c r="E3885" s="1" t="s">
        <v>8243</v>
      </c>
      <c r="F3885" s="1" t="str">
        <f>HYPERLINK("https://talan.bank.gov.ua/get-user-certificate/J5325uG8VfYTafGOwA2s","Завантажити сертифікат")</f>
        <v>Завантажити сертифікат</v>
      </c>
    </row>
    <row r="3886" spans="1:6" ht="28.8" x14ac:dyDescent="0.3">
      <c r="A3886" s="2">
        <v>3885</v>
      </c>
      <c r="B3886" s="1" t="s">
        <v>8244</v>
      </c>
      <c r="C3886" s="1" t="s">
        <v>8191</v>
      </c>
      <c r="D3886" s="1" t="s">
        <v>8192</v>
      </c>
      <c r="E3886" s="1" t="s">
        <v>8245</v>
      </c>
      <c r="F3886" s="1" t="str">
        <f>HYPERLINK("https://talan.bank.gov.ua/get-user-certificate/J5325lqGeT8GWAm3EkkX","Завантажити сертифікат")</f>
        <v>Завантажити сертифікат</v>
      </c>
    </row>
    <row r="3887" spans="1:6" ht="28.8" x14ac:dyDescent="0.3">
      <c r="A3887" s="2">
        <v>3886</v>
      </c>
      <c r="B3887" s="1" t="s">
        <v>8246</v>
      </c>
      <c r="C3887" s="1" t="s">
        <v>8191</v>
      </c>
      <c r="D3887" s="1" t="s">
        <v>8192</v>
      </c>
      <c r="E3887" s="1" t="s">
        <v>8247</v>
      </c>
      <c r="F3887" s="1" t="str">
        <f>HYPERLINK("https://talan.bank.gov.ua/get-user-certificate/J53251hWpc0ehmzBKh8L","Завантажити сертифікат")</f>
        <v>Завантажити сертифікат</v>
      </c>
    </row>
    <row r="3888" spans="1:6" ht="28.8" x14ac:dyDescent="0.3">
      <c r="A3888" s="2">
        <v>3887</v>
      </c>
      <c r="B3888" s="1" t="s">
        <v>8248</v>
      </c>
      <c r="C3888" s="1" t="s">
        <v>8191</v>
      </c>
      <c r="D3888" s="1" t="s">
        <v>8192</v>
      </c>
      <c r="E3888" s="1" t="s">
        <v>8249</v>
      </c>
      <c r="F3888" s="1" t="str">
        <f>HYPERLINK("https://talan.bank.gov.ua/get-user-certificate/J53250366-4NqLjmbOAZ","Завантажити сертифікат")</f>
        <v>Завантажити сертифікат</v>
      </c>
    </row>
    <row r="3889" spans="1:6" ht="28.8" x14ac:dyDescent="0.3">
      <c r="A3889" s="2">
        <v>3888</v>
      </c>
      <c r="B3889" s="1" t="s">
        <v>8250</v>
      </c>
      <c r="C3889" s="1" t="s">
        <v>8191</v>
      </c>
      <c r="D3889" s="1" t="s">
        <v>8192</v>
      </c>
      <c r="E3889" s="1" t="s">
        <v>8251</v>
      </c>
      <c r="F3889" s="1" t="str">
        <f>HYPERLINK("https://talan.bank.gov.ua/get-user-certificate/J5325TN38c_tbthsZDUf","Завантажити сертифікат")</f>
        <v>Завантажити сертифікат</v>
      </c>
    </row>
    <row r="3890" spans="1:6" ht="28.8" x14ac:dyDescent="0.3">
      <c r="A3890" s="2">
        <v>3889</v>
      </c>
      <c r="B3890" s="1" t="s">
        <v>8252</v>
      </c>
      <c r="C3890" s="1" t="s">
        <v>8191</v>
      </c>
      <c r="D3890" s="1" t="s">
        <v>8192</v>
      </c>
      <c r="E3890" s="1" t="s">
        <v>8253</v>
      </c>
      <c r="F3890" s="1" t="str">
        <f>HYPERLINK("https://talan.bank.gov.ua/get-user-certificate/J5325DsChLPc3UZKWfRC","Завантажити сертифікат")</f>
        <v>Завантажити сертифікат</v>
      </c>
    </row>
    <row r="3891" spans="1:6" ht="28.8" x14ac:dyDescent="0.3">
      <c r="A3891" s="2">
        <v>3890</v>
      </c>
      <c r="B3891" s="1" t="s">
        <v>8254</v>
      </c>
      <c r="C3891" s="1" t="s">
        <v>8191</v>
      </c>
      <c r="D3891" s="1" t="s">
        <v>8192</v>
      </c>
      <c r="E3891" s="1" t="s">
        <v>8255</v>
      </c>
      <c r="F3891" s="1" t="str">
        <f>HYPERLINK("https://talan.bank.gov.ua/get-user-certificate/J5325OHVcziys2gV1_LA","Завантажити сертифікат")</f>
        <v>Завантажити сертифікат</v>
      </c>
    </row>
    <row r="3892" spans="1:6" ht="28.8" x14ac:dyDescent="0.3">
      <c r="A3892" s="2">
        <v>3891</v>
      </c>
      <c r="B3892" s="1" t="s">
        <v>8256</v>
      </c>
      <c r="C3892" s="1" t="s">
        <v>8191</v>
      </c>
      <c r="D3892" s="1" t="s">
        <v>8192</v>
      </c>
      <c r="E3892" s="1" t="s">
        <v>8257</v>
      </c>
      <c r="F3892" s="1" t="str">
        <f>HYPERLINK("https://talan.bank.gov.ua/get-user-certificate/J5325SS7IqEUab_JhDMI","Завантажити сертифікат")</f>
        <v>Завантажити сертифікат</v>
      </c>
    </row>
    <row r="3893" spans="1:6" ht="28.8" x14ac:dyDescent="0.3">
      <c r="A3893" s="2">
        <v>3892</v>
      </c>
      <c r="B3893" s="1" t="s">
        <v>8258</v>
      </c>
      <c r="C3893" s="1" t="s">
        <v>8191</v>
      </c>
      <c r="D3893" s="1" t="s">
        <v>8192</v>
      </c>
      <c r="E3893" s="1" t="s">
        <v>8259</v>
      </c>
      <c r="F3893" s="1" t="str">
        <f>HYPERLINK("https://talan.bank.gov.ua/get-user-certificate/J5325beRAqeJBJZvjyFn","Завантажити сертифікат")</f>
        <v>Завантажити сертифікат</v>
      </c>
    </row>
    <row r="3894" spans="1:6" ht="28.8" x14ac:dyDescent="0.3">
      <c r="A3894" s="2">
        <v>3893</v>
      </c>
      <c r="B3894" s="1" t="s">
        <v>8260</v>
      </c>
      <c r="C3894" s="1" t="s">
        <v>8191</v>
      </c>
      <c r="D3894" s="1" t="s">
        <v>8192</v>
      </c>
      <c r="E3894" s="1" t="s">
        <v>8261</v>
      </c>
      <c r="F3894" s="1" t="str">
        <f>HYPERLINK("https://talan.bank.gov.ua/get-user-certificate/J5325ZR_yMN2kjoDBT_5","Завантажити сертифікат")</f>
        <v>Завантажити сертифікат</v>
      </c>
    </row>
    <row r="3895" spans="1:6" ht="28.8" x14ac:dyDescent="0.3">
      <c r="A3895" s="2">
        <v>3894</v>
      </c>
      <c r="B3895" s="1" t="s">
        <v>8262</v>
      </c>
      <c r="C3895" s="1" t="s">
        <v>8191</v>
      </c>
      <c r="D3895" s="1" t="s">
        <v>8192</v>
      </c>
      <c r="E3895" s="1" t="s">
        <v>8263</v>
      </c>
      <c r="F3895" s="1" t="str">
        <f>HYPERLINK("https://talan.bank.gov.ua/get-user-certificate/J5325Y7omPpYA9H_geKV","Завантажити сертифікат")</f>
        <v>Завантажити сертифікат</v>
      </c>
    </row>
    <row r="3896" spans="1:6" ht="28.8" x14ac:dyDescent="0.3">
      <c r="A3896" s="2">
        <v>3895</v>
      </c>
      <c r="B3896" s="1" t="s">
        <v>8264</v>
      </c>
      <c r="C3896" s="1" t="s">
        <v>8191</v>
      </c>
      <c r="D3896" s="1" t="s">
        <v>8192</v>
      </c>
      <c r="E3896" s="1" t="s">
        <v>8265</v>
      </c>
      <c r="F3896" s="1" t="str">
        <f>HYPERLINK("https://talan.bank.gov.ua/get-user-certificate/J5325_01BH0yIgJ3-zVS","Завантажити сертифікат")</f>
        <v>Завантажити сертифікат</v>
      </c>
    </row>
    <row r="3897" spans="1:6" ht="28.8" x14ac:dyDescent="0.3">
      <c r="A3897" s="2">
        <v>3896</v>
      </c>
      <c r="B3897" s="1" t="s">
        <v>8266</v>
      </c>
      <c r="C3897" s="1" t="s">
        <v>8191</v>
      </c>
      <c r="D3897" s="1" t="s">
        <v>8192</v>
      </c>
      <c r="E3897" s="1" t="s">
        <v>8267</v>
      </c>
      <c r="F3897" s="1" t="str">
        <f>HYPERLINK("https://talan.bank.gov.ua/get-user-certificate/J5325RvLdj0kbrb9JGMH","Завантажити сертифікат")</f>
        <v>Завантажити сертифікат</v>
      </c>
    </row>
    <row r="3898" spans="1:6" ht="28.8" x14ac:dyDescent="0.3">
      <c r="A3898" s="2">
        <v>3897</v>
      </c>
      <c r="B3898" s="1" t="s">
        <v>8268</v>
      </c>
      <c r="C3898" s="1" t="s">
        <v>8191</v>
      </c>
      <c r="D3898" s="1" t="s">
        <v>8192</v>
      </c>
      <c r="E3898" s="1" t="s">
        <v>8269</v>
      </c>
      <c r="F3898" s="1" t="str">
        <f>HYPERLINK("https://talan.bank.gov.ua/get-user-certificate/J5325H9y6FTp3ngMvcT6","Завантажити сертифікат")</f>
        <v>Завантажити сертифікат</v>
      </c>
    </row>
    <row r="3899" spans="1:6" ht="28.8" x14ac:dyDescent="0.3">
      <c r="A3899" s="2">
        <v>3898</v>
      </c>
      <c r="B3899" s="1" t="s">
        <v>8270</v>
      </c>
      <c r="C3899" s="1" t="s">
        <v>8191</v>
      </c>
      <c r="D3899" s="1" t="s">
        <v>8192</v>
      </c>
      <c r="E3899" s="1" t="s">
        <v>8271</v>
      </c>
      <c r="F3899" s="1" t="str">
        <f>HYPERLINK("https://talan.bank.gov.ua/get-user-certificate/J53256eV3q1kPRUdLvrG","Завантажити сертифікат")</f>
        <v>Завантажити сертифікат</v>
      </c>
    </row>
    <row r="3900" spans="1:6" ht="28.8" x14ac:dyDescent="0.3">
      <c r="A3900" s="2">
        <v>3899</v>
      </c>
      <c r="B3900" s="1" t="s">
        <v>8272</v>
      </c>
      <c r="C3900" s="1" t="s">
        <v>8191</v>
      </c>
      <c r="D3900" s="1" t="s">
        <v>8192</v>
      </c>
      <c r="E3900" s="1" t="s">
        <v>8273</v>
      </c>
      <c r="F3900" s="1" t="str">
        <f>HYPERLINK("https://talan.bank.gov.ua/get-user-certificate/J5325oRGTruFCIj-jBKL","Завантажити сертифікат")</f>
        <v>Завантажити сертифікат</v>
      </c>
    </row>
    <row r="3901" spans="1:6" ht="28.8" x14ac:dyDescent="0.3">
      <c r="A3901" s="2">
        <v>3900</v>
      </c>
      <c r="B3901" s="1" t="s">
        <v>8274</v>
      </c>
      <c r="C3901" s="1" t="s">
        <v>8191</v>
      </c>
      <c r="D3901" s="1" t="s">
        <v>8192</v>
      </c>
      <c r="E3901" s="1" t="s">
        <v>8275</v>
      </c>
      <c r="F3901" s="1" t="str">
        <f>HYPERLINK("https://talan.bank.gov.ua/get-user-certificate/J53250j0UqJxxmcpZIeL","Завантажити сертифікат")</f>
        <v>Завантажити сертифікат</v>
      </c>
    </row>
    <row r="3902" spans="1:6" ht="28.8" x14ac:dyDescent="0.3">
      <c r="A3902" s="2">
        <v>3901</v>
      </c>
      <c r="B3902" s="1" t="s">
        <v>8276</v>
      </c>
      <c r="C3902" s="1" t="s">
        <v>8191</v>
      </c>
      <c r="D3902" s="1" t="s">
        <v>8192</v>
      </c>
      <c r="E3902" s="1" t="s">
        <v>8277</v>
      </c>
      <c r="F3902" s="1" t="str">
        <f>HYPERLINK("https://talan.bank.gov.ua/get-user-certificate/J5325Ht2huO815WkZ2BI","Завантажити сертифікат")</f>
        <v>Завантажити сертифікат</v>
      </c>
    </row>
    <row r="3903" spans="1:6" ht="28.8" x14ac:dyDescent="0.3">
      <c r="A3903" s="2">
        <v>3902</v>
      </c>
      <c r="B3903" s="1" t="s">
        <v>8278</v>
      </c>
      <c r="C3903" s="1" t="s">
        <v>8191</v>
      </c>
      <c r="D3903" s="1" t="s">
        <v>8192</v>
      </c>
      <c r="E3903" s="1" t="s">
        <v>8279</v>
      </c>
      <c r="F3903" s="1" t="str">
        <f>HYPERLINK("https://talan.bank.gov.ua/get-user-certificate/J53257latmQnnLdory8X","Завантажити сертифікат")</f>
        <v>Завантажити сертифікат</v>
      </c>
    </row>
    <row r="3904" spans="1:6" x14ac:dyDescent="0.3">
      <c r="A3904" s="2">
        <v>3903</v>
      </c>
      <c r="B3904" s="1" t="s">
        <v>8280</v>
      </c>
      <c r="C3904" s="1" t="s">
        <v>8281</v>
      </c>
      <c r="D3904" s="1" t="s">
        <v>8282</v>
      </c>
      <c r="E3904" s="1" t="s">
        <v>8283</v>
      </c>
      <c r="F3904" s="1" t="str">
        <f>HYPERLINK("https://talan.bank.gov.ua/get-user-certificate/J5325EBQZpb8N7CEzyft","Завантажити сертифікат")</f>
        <v>Завантажити сертифікат</v>
      </c>
    </row>
    <row r="3905" spans="1:6" x14ac:dyDescent="0.3">
      <c r="A3905" s="2">
        <v>3904</v>
      </c>
      <c r="B3905" s="1" t="s">
        <v>8284</v>
      </c>
      <c r="C3905" s="1" t="s">
        <v>8281</v>
      </c>
      <c r="D3905" s="1" t="s">
        <v>8282</v>
      </c>
      <c r="E3905" s="1" t="s">
        <v>8285</v>
      </c>
      <c r="F3905" s="1" t="str">
        <f>HYPERLINK("https://talan.bank.gov.ua/get-user-certificate/J5325z761wTPeWmaupJs","Завантажити сертифікат")</f>
        <v>Завантажити сертифікат</v>
      </c>
    </row>
    <row r="3906" spans="1:6" x14ac:dyDescent="0.3">
      <c r="A3906" s="2">
        <v>3905</v>
      </c>
      <c r="B3906" s="1" t="s">
        <v>8286</v>
      </c>
      <c r="C3906" s="1" t="s">
        <v>8281</v>
      </c>
      <c r="D3906" s="1" t="s">
        <v>8282</v>
      </c>
      <c r="E3906" s="1" t="s">
        <v>8287</v>
      </c>
      <c r="F3906" s="1" t="str">
        <f>HYPERLINK("https://talan.bank.gov.ua/get-user-certificate/J53256w-4WuuiJil_Rfo","Завантажити сертифікат")</f>
        <v>Завантажити сертифікат</v>
      </c>
    </row>
    <row r="3907" spans="1:6" x14ac:dyDescent="0.3">
      <c r="A3907" s="2">
        <v>3906</v>
      </c>
      <c r="B3907" s="1" t="s">
        <v>8288</v>
      </c>
      <c r="C3907" s="1" t="s">
        <v>8281</v>
      </c>
      <c r="D3907" s="1" t="s">
        <v>8282</v>
      </c>
      <c r="E3907" s="1" t="s">
        <v>8289</v>
      </c>
      <c r="F3907" s="1" t="str">
        <f>HYPERLINK("https://talan.bank.gov.ua/get-user-certificate/J5325xgCTppcQTQ0JTuf","Завантажити сертифікат")</f>
        <v>Завантажити сертифікат</v>
      </c>
    </row>
    <row r="3908" spans="1:6" x14ac:dyDescent="0.3">
      <c r="A3908" s="2">
        <v>3907</v>
      </c>
      <c r="B3908" s="1" t="s">
        <v>8290</v>
      </c>
      <c r="C3908" s="1" t="s">
        <v>8281</v>
      </c>
      <c r="D3908" s="1" t="s">
        <v>8282</v>
      </c>
      <c r="E3908" s="1" t="s">
        <v>8291</v>
      </c>
      <c r="F3908" s="1" t="str">
        <f>HYPERLINK("https://talan.bank.gov.ua/get-user-certificate/J532556vTAYSdOHQLUm6","Завантажити сертифікат")</f>
        <v>Завантажити сертифікат</v>
      </c>
    </row>
    <row r="3909" spans="1:6" ht="28.8" x14ac:dyDescent="0.3">
      <c r="A3909" s="2">
        <v>3908</v>
      </c>
      <c r="B3909" s="1" t="s">
        <v>8292</v>
      </c>
      <c r="C3909" s="1" t="s">
        <v>8293</v>
      </c>
      <c r="D3909" s="1" t="s">
        <v>8294</v>
      </c>
      <c r="E3909" s="1" t="s">
        <v>8295</v>
      </c>
      <c r="F3909" s="1" t="str">
        <f>HYPERLINK("https://talan.bank.gov.ua/get-user-certificate/J5325lMCHtzmvGuYtRD-","Завантажити сертифікат")</f>
        <v>Завантажити сертифікат</v>
      </c>
    </row>
    <row r="3910" spans="1:6" ht="28.8" x14ac:dyDescent="0.3">
      <c r="A3910" s="2">
        <v>3909</v>
      </c>
      <c r="B3910" s="1" t="s">
        <v>8296</v>
      </c>
      <c r="C3910" s="1" t="s">
        <v>8293</v>
      </c>
      <c r="D3910" s="1" t="s">
        <v>8294</v>
      </c>
      <c r="E3910" s="1" t="s">
        <v>8297</v>
      </c>
      <c r="F3910" s="1" t="str">
        <f>HYPERLINK("https://talan.bank.gov.ua/get-user-certificate/J5325YMe-9rWE0hpmk82","Завантажити сертифікат")</f>
        <v>Завантажити сертифікат</v>
      </c>
    </row>
    <row r="3911" spans="1:6" ht="28.8" x14ac:dyDescent="0.3">
      <c r="A3911" s="2">
        <v>3910</v>
      </c>
      <c r="B3911" s="1" t="s">
        <v>8298</v>
      </c>
      <c r="C3911" s="1" t="s">
        <v>8293</v>
      </c>
      <c r="D3911" s="1" t="s">
        <v>8294</v>
      </c>
      <c r="E3911" s="1" t="s">
        <v>8299</v>
      </c>
      <c r="F3911" s="1" t="str">
        <f>HYPERLINK("https://talan.bank.gov.ua/get-user-certificate/J5325kWrlscyos1GwkXT","Завантажити сертифікат")</f>
        <v>Завантажити сертифікат</v>
      </c>
    </row>
    <row r="3912" spans="1:6" ht="28.8" x14ac:dyDescent="0.3">
      <c r="A3912" s="2">
        <v>3911</v>
      </c>
      <c r="B3912" s="1" t="s">
        <v>8300</v>
      </c>
      <c r="C3912" s="1" t="s">
        <v>8293</v>
      </c>
      <c r="D3912" s="1" t="s">
        <v>8294</v>
      </c>
      <c r="E3912" s="1" t="s">
        <v>8301</v>
      </c>
      <c r="F3912" s="1" t="str">
        <f>HYPERLINK("https://talan.bank.gov.ua/get-user-certificate/J5325ON9GBg4nKx-ZbPS","Завантажити сертифікат")</f>
        <v>Завантажити сертифікат</v>
      </c>
    </row>
    <row r="3913" spans="1:6" ht="28.8" x14ac:dyDescent="0.3">
      <c r="A3913" s="2">
        <v>3912</v>
      </c>
      <c r="B3913" s="1" t="s">
        <v>8302</v>
      </c>
      <c r="C3913" s="1" t="s">
        <v>8293</v>
      </c>
      <c r="D3913" s="1" t="s">
        <v>8294</v>
      </c>
      <c r="E3913" s="1" t="s">
        <v>8303</v>
      </c>
      <c r="F3913" s="1" t="str">
        <f>HYPERLINK("https://talan.bank.gov.ua/get-user-certificate/J5325TK8eQDPqB10QOlQ","Завантажити сертифікат")</f>
        <v>Завантажити сертифікат</v>
      </c>
    </row>
    <row r="3914" spans="1:6" ht="28.8" x14ac:dyDescent="0.3">
      <c r="A3914" s="2">
        <v>3913</v>
      </c>
      <c r="B3914" s="1" t="s">
        <v>8304</v>
      </c>
      <c r="C3914" s="1" t="s">
        <v>8293</v>
      </c>
      <c r="D3914" s="1" t="s">
        <v>8294</v>
      </c>
      <c r="E3914" s="1" t="s">
        <v>8305</v>
      </c>
      <c r="F3914" s="1" t="str">
        <f>HYPERLINK("https://talan.bank.gov.ua/get-user-certificate/J5325xL87pxQP_GAkiPR","Завантажити сертифікат")</f>
        <v>Завантажити сертифікат</v>
      </c>
    </row>
    <row r="3915" spans="1:6" ht="28.8" x14ac:dyDescent="0.3">
      <c r="A3915" s="2">
        <v>3914</v>
      </c>
      <c r="B3915" s="1" t="s">
        <v>8306</v>
      </c>
      <c r="C3915" s="1" t="s">
        <v>8293</v>
      </c>
      <c r="D3915" s="1" t="s">
        <v>8294</v>
      </c>
      <c r="E3915" s="1" t="s">
        <v>8307</v>
      </c>
      <c r="F3915" s="1" t="str">
        <f>HYPERLINK("https://talan.bank.gov.ua/get-user-certificate/J5325snc_T0SzNByMYge","Завантажити сертифікат")</f>
        <v>Завантажити сертифікат</v>
      </c>
    </row>
    <row r="3916" spans="1:6" ht="28.8" x14ac:dyDescent="0.3">
      <c r="A3916" s="2">
        <v>3915</v>
      </c>
      <c r="B3916" s="1" t="s">
        <v>8308</v>
      </c>
      <c r="C3916" s="1" t="s">
        <v>8293</v>
      </c>
      <c r="D3916" s="1" t="s">
        <v>8294</v>
      </c>
      <c r="E3916" s="1" t="s">
        <v>8309</v>
      </c>
      <c r="F3916" s="1" t="str">
        <f>HYPERLINK("https://talan.bank.gov.ua/get-user-certificate/J53253ck06uEds7OTjYl","Завантажити сертифікат")</f>
        <v>Завантажити сертифікат</v>
      </c>
    </row>
    <row r="3917" spans="1:6" ht="28.8" x14ac:dyDescent="0.3">
      <c r="A3917" s="2">
        <v>3916</v>
      </c>
      <c r="B3917" s="1" t="s">
        <v>8310</v>
      </c>
      <c r="C3917" s="1" t="s">
        <v>8311</v>
      </c>
      <c r="D3917" s="1" t="s">
        <v>8312</v>
      </c>
      <c r="E3917" s="1" t="s">
        <v>8313</v>
      </c>
      <c r="F3917" s="1" t="str">
        <f>HYPERLINK("https://talan.bank.gov.ua/get-user-certificate/J5325u7eYHoxu_rLPIRs","Завантажити сертифікат")</f>
        <v>Завантажити сертифікат</v>
      </c>
    </row>
    <row r="3918" spans="1:6" ht="28.8" x14ac:dyDescent="0.3">
      <c r="A3918" s="2">
        <v>3917</v>
      </c>
      <c r="B3918" s="1" t="s">
        <v>8314</v>
      </c>
      <c r="C3918" s="1" t="s">
        <v>8311</v>
      </c>
      <c r="D3918" s="1" t="s">
        <v>8312</v>
      </c>
      <c r="E3918" s="1" t="s">
        <v>8315</v>
      </c>
      <c r="F3918" s="1" t="str">
        <f>HYPERLINK("https://talan.bank.gov.ua/get-user-certificate/J5325CBccGgW2XpqSthN","Завантажити сертифікат")</f>
        <v>Завантажити сертифікат</v>
      </c>
    </row>
    <row r="3919" spans="1:6" ht="28.8" x14ac:dyDescent="0.3">
      <c r="A3919" s="2">
        <v>3918</v>
      </c>
      <c r="B3919" s="1" t="s">
        <v>8316</v>
      </c>
      <c r="C3919" s="1" t="s">
        <v>8311</v>
      </c>
      <c r="D3919" s="1" t="s">
        <v>8312</v>
      </c>
      <c r="E3919" s="1" t="s">
        <v>8317</v>
      </c>
      <c r="F3919" s="1" t="str">
        <f>HYPERLINK("https://talan.bank.gov.ua/get-user-certificate/J5325zSleWsnPYZKLV95","Завантажити сертифікат")</f>
        <v>Завантажити сертифікат</v>
      </c>
    </row>
    <row r="3920" spans="1:6" ht="28.8" x14ac:dyDescent="0.3">
      <c r="A3920" s="2">
        <v>3919</v>
      </c>
      <c r="B3920" s="1" t="s">
        <v>8318</v>
      </c>
      <c r="C3920" s="1" t="s">
        <v>8311</v>
      </c>
      <c r="D3920" s="1" t="s">
        <v>8312</v>
      </c>
      <c r="E3920" s="1" t="s">
        <v>8319</v>
      </c>
      <c r="F3920" s="1" t="str">
        <f>HYPERLINK("https://talan.bank.gov.ua/get-user-certificate/J5325fFpcZZQlGWBUVkw","Завантажити сертифікат")</f>
        <v>Завантажити сертифікат</v>
      </c>
    </row>
    <row r="3921" spans="1:6" ht="28.8" x14ac:dyDescent="0.3">
      <c r="A3921" s="2">
        <v>3920</v>
      </c>
      <c r="B3921" s="1" t="s">
        <v>8320</v>
      </c>
      <c r="C3921" s="1" t="s">
        <v>8311</v>
      </c>
      <c r="D3921" s="1" t="s">
        <v>8312</v>
      </c>
      <c r="E3921" s="1" t="s">
        <v>8321</v>
      </c>
      <c r="F3921" s="1" t="str">
        <f>HYPERLINK("https://talan.bank.gov.ua/get-user-certificate/J5325eN3ZzFjCqB2eiAu","Завантажити сертифікат")</f>
        <v>Завантажити сертифікат</v>
      </c>
    </row>
    <row r="3922" spans="1:6" ht="28.8" x14ac:dyDescent="0.3">
      <c r="A3922" s="2">
        <v>3921</v>
      </c>
      <c r="B3922" s="1" t="s">
        <v>8322</v>
      </c>
      <c r="C3922" s="1" t="s">
        <v>8311</v>
      </c>
      <c r="D3922" s="1" t="s">
        <v>8312</v>
      </c>
      <c r="E3922" s="1" t="s">
        <v>8323</v>
      </c>
      <c r="F3922" s="1" t="str">
        <f>HYPERLINK("https://talan.bank.gov.ua/get-user-certificate/J5325Bs8Mx24P-buVt-7","Завантажити сертифікат")</f>
        <v>Завантажити сертифікат</v>
      </c>
    </row>
    <row r="3923" spans="1:6" ht="28.8" x14ac:dyDescent="0.3">
      <c r="A3923" s="2">
        <v>3922</v>
      </c>
      <c r="B3923" s="1" t="s">
        <v>8324</v>
      </c>
      <c r="C3923" s="1" t="s">
        <v>8311</v>
      </c>
      <c r="D3923" s="1" t="s">
        <v>8312</v>
      </c>
      <c r="E3923" s="1" t="s">
        <v>8325</v>
      </c>
      <c r="F3923" s="1" t="str">
        <f>HYPERLINK("https://talan.bank.gov.ua/get-user-certificate/J5325LmxV4pTMqciqNBJ","Завантажити сертифікат")</f>
        <v>Завантажити сертифікат</v>
      </c>
    </row>
    <row r="3924" spans="1:6" ht="28.8" x14ac:dyDescent="0.3">
      <c r="A3924" s="2">
        <v>3923</v>
      </c>
      <c r="B3924" s="1" t="s">
        <v>8326</v>
      </c>
      <c r="C3924" s="1" t="s">
        <v>8311</v>
      </c>
      <c r="D3924" s="1" t="s">
        <v>8312</v>
      </c>
      <c r="E3924" s="1" t="s">
        <v>8327</v>
      </c>
      <c r="F3924" s="1" t="str">
        <f>HYPERLINK("https://talan.bank.gov.ua/get-user-certificate/J53250Ep92vJ-Lul36Vn","Завантажити сертифікат")</f>
        <v>Завантажити сертифікат</v>
      </c>
    </row>
    <row r="3925" spans="1:6" ht="28.8" x14ac:dyDescent="0.3">
      <c r="A3925" s="2">
        <v>3924</v>
      </c>
      <c r="B3925" s="1" t="s">
        <v>8328</v>
      </c>
      <c r="C3925" s="1" t="s">
        <v>8311</v>
      </c>
      <c r="D3925" s="1" t="s">
        <v>8312</v>
      </c>
      <c r="E3925" s="1" t="s">
        <v>8329</v>
      </c>
      <c r="F3925" s="1" t="str">
        <f>HYPERLINK("https://talan.bank.gov.ua/get-user-certificate/J5325Vm38Msj0G6KJ19W","Завантажити сертифікат")</f>
        <v>Завантажити сертифікат</v>
      </c>
    </row>
    <row r="3926" spans="1:6" ht="28.8" x14ac:dyDescent="0.3">
      <c r="A3926" s="2">
        <v>3925</v>
      </c>
      <c r="B3926" s="1" t="s">
        <v>8330</v>
      </c>
      <c r="C3926" s="1" t="s">
        <v>8311</v>
      </c>
      <c r="D3926" s="1" t="s">
        <v>8312</v>
      </c>
      <c r="E3926" s="1" t="s">
        <v>8331</v>
      </c>
      <c r="F3926" s="1" t="str">
        <f>HYPERLINK("https://talan.bank.gov.ua/get-user-certificate/J5325e5Pd9fCfqh-e-be","Завантажити сертифікат")</f>
        <v>Завантажити сертифікат</v>
      </c>
    </row>
    <row r="3927" spans="1:6" ht="28.8" x14ac:dyDescent="0.3">
      <c r="A3927" s="2">
        <v>3926</v>
      </c>
      <c r="B3927" s="1" t="s">
        <v>8332</v>
      </c>
      <c r="C3927" s="1" t="s">
        <v>8311</v>
      </c>
      <c r="D3927" s="1" t="s">
        <v>8312</v>
      </c>
      <c r="E3927" s="1" t="s">
        <v>8333</v>
      </c>
      <c r="F3927" s="1" t="str">
        <f>HYPERLINK("https://talan.bank.gov.ua/get-user-certificate/J5325NFIZC5jGzAoy5zY","Завантажити сертифікат")</f>
        <v>Завантажити сертифікат</v>
      </c>
    </row>
    <row r="3928" spans="1:6" ht="28.8" x14ac:dyDescent="0.3">
      <c r="A3928" s="2">
        <v>3927</v>
      </c>
      <c r="B3928" s="1" t="s">
        <v>8334</v>
      </c>
      <c r="C3928" s="1" t="s">
        <v>8311</v>
      </c>
      <c r="D3928" s="1" t="s">
        <v>8312</v>
      </c>
      <c r="E3928" s="1" t="s">
        <v>8335</v>
      </c>
      <c r="F3928" s="1" t="str">
        <f>HYPERLINK("https://talan.bank.gov.ua/get-user-certificate/J5325t0LJlacA403Wp9p","Завантажити сертифікат")</f>
        <v>Завантажити сертифікат</v>
      </c>
    </row>
    <row r="3929" spans="1:6" x14ac:dyDescent="0.3">
      <c r="A3929" s="2">
        <v>3928</v>
      </c>
      <c r="B3929" s="1" t="s">
        <v>8336</v>
      </c>
      <c r="C3929" s="1" t="s">
        <v>8337</v>
      </c>
      <c r="D3929" s="1" t="s">
        <v>8338</v>
      </c>
      <c r="E3929" s="1" t="s">
        <v>8339</v>
      </c>
      <c r="F3929" s="1" t="str">
        <f>HYPERLINK("https://talan.bank.gov.ua/get-user-certificate/J5325JnMf3xS2UUc7Uv0","Завантажити сертифікат")</f>
        <v>Завантажити сертифікат</v>
      </c>
    </row>
    <row r="3930" spans="1:6" x14ac:dyDescent="0.3">
      <c r="A3930" s="2">
        <v>3929</v>
      </c>
      <c r="B3930" s="1" t="s">
        <v>8340</v>
      </c>
      <c r="C3930" s="1" t="s">
        <v>8341</v>
      </c>
      <c r="D3930" s="1" t="s">
        <v>8338</v>
      </c>
      <c r="E3930" s="1" t="s">
        <v>8342</v>
      </c>
      <c r="F3930" s="1" t="str">
        <f>HYPERLINK("https://talan.bank.gov.ua/get-user-certificate/J5325S6YO8DrJ4oiJxAN","Завантажити сертифікат")</f>
        <v>Завантажити сертифікат</v>
      </c>
    </row>
    <row r="3931" spans="1:6" x14ac:dyDescent="0.3">
      <c r="A3931" s="2">
        <v>3930</v>
      </c>
      <c r="B3931" s="1" t="s">
        <v>8343</v>
      </c>
      <c r="C3931" s="1" t="s">
        <v>8341</v>
      </c>
      <c r="D3931" s="1" t="s">
        <v>8338</v>
      </c>
      <c r="E3931" s="1" t="s">
        <v>8344</v>
      </c>
      <c r="F3931" s="1" t="str">
        <f>HYPERLINK("https://talan.bank.gov.ua/get-user-certificate/J53250uiLaoyR_XSJzVW","Завантажити сертифікат")</f>
        <v>Завантажити сертифікат</v>
      </c>
    </row>
    <row r="3932" spans="1:6" x14ac:dyDescent="0.3">
      <c r="A3932" s="2">
        <v>3931</v>
      </c>
      <c r="B3932" s="1" t="s">
        <v>8345</v>
      </c>
      <c r="C3932" s="1" t="s">
        <v>8341</v>
      </c>
      <c r="D3932" s="1" t="s">
        <v>8338</v>
      </c>
      <c r="E3932" s="1" t="s">
        <v>8346</v>
      </c>
      <c r="F3932" s="1" t="str">
        <f>HYPERLINK("https://talan.bank.gov.ua/get-user-certificate/J5325Hlz68wHahPYyyQg","Завантажити сертифікат")</f>
        <v>Завантажити сертифікат</v>
      </c>
    </row>
    <row r="3933" spans="1:6" x14ac:dyDescent="0.3">
      <c r="A3933" s="2">
        <v>3932</v>
      </c>
      <c r="B3933" s="1" t="s">
        <v>8347</v>
      </c>
      <c r="C3933" s="1" t="s">
        <v>8341</v>
      </c>
      <c r="D3933" s="1" t="s">
        <v>8338</v>
      </c>
      <c r="E3933" s="1" t="s">
        <v>8348</v>
      </c>
      <c r="F3933" s="1" t="str">
        <f>HYPERLINK("https://talan.bank.gov.ua/get-user-certificate/J5325Su1wgkggZeoMQFo","Завантажити сертифікат")</f>
        <v>Завантажити сертифікат</v>
      </c>
    </row>
    <row r="3934" spans="1:6" x14ac:dyDescent="0.3">
      <c r="A3934" s="2">
        <v>3933</v>
      </c>
      <c r="B3934" s="1" t="s">
        <v>8349</v>
      </c>
      <c r="C3934" s="1" t="s">
        <v>8341</v>
      </c>
      <c r="D3934" s="1" t="s">
        <v>8338</v>
      </c>
      <c r="E3934" s="1" t="s">
        <v>8350</v>
      </c>
      <c r="F3934" s="1" t="str">
        <f>HYPERLINK("https://talan.bank.gov.ua/get-user-certificate/J53255Z300xq4a0dYs6U","Завантажити сертифікат")</f>
        <v>Завантажити сертифікат</v>
      </c>
    </row>
    <row r="3935" spans="1:6" x14ac:dyDescent="0.3">
      <c r="A3935" s="2">
        <v>3934</v>
      </c>
      <c r="B3935" s="1" t="s">
        <v>8351</v>
      </c>
      <c r="C3935" s="1" t="s">
        <v>8341</v>
      </c>
      <c r="D3935" s="1" t="s">
        <v>8338</v>
      </c>
      <c r="E3935" s="1" t="s">
        <v>8352</v>
      </c>
      <c r="F3935" s="1" t="str">
        <f>HYPERLINK("https://talan.bank.gov.ua/get-user-certificate/J5325d1tQNpxdYygNDyX","Завантажити сертифікат")</f>
        <v>Завантажити сертифікат</v>
      </c>
    </row>
    <row r="3936" spans="1:6" x14ac:dyDescent="0.3">
      <c r="A3936" s="2">
        <v>3935</v>
      </c>
      <c r="B3936" s="1" t="s">
        <v>8353</v>
      </c>
      <c r="C3936" s="1" t="s">
        <v>8341</v>
      </c>
      <c r="D3936" s="1" t="s">
        <v>8338</v>
      </c>
      <c r="E3936" s="1" t="s">
        <v>8354</v>
      </c>
      <c r="F3936" s="1" t="str">
        <f>HYPERLINK("https://talan.bank.gov.ua/get-user-certificate/J5325W9lC550h-xe1rG4","Завантажити сертифікат")</f>
        <v>Завантажити сертифікат</v>
      </c>
    </row>
    <row r="3937" spans="1:6" x14ac:dyDescent="0.3">
      <c r="A3937" s="2">
        <v>3936</v>
      </c>
      <c r="B3937" s="1" t="s">
        <v>8355</v>
      </c>
      <c r="C3937" s="1" t="s">
        <v>8341</v>
      </c>
      <c r="D3937" s="1" t="s">
        <v>8338</v>
      </c>
      <c r="E3937" s="1" t="s">
        <v>8356</v>
      </c>
      <c r="F3937" s="1" t="str">
        <f>HYPERLINK("https://talan.bank.gov.ua/get-user-certificate/J5325nrtab2LnNGtaPPP","Завантажити сертифікат")</f>
        <v>Завантажити сертифікат</v>
      </c>
    </row>
    <row r="3938" spans="1:6" x14ac:dyDescent="0.3">
      <c r="A3938" s="2">
        <v>3937</v>
      </c>
      <c r="B3938" s="1" t="s">
        <v>8357</v>
      </c>
      <c r="C3938" s="1" t="s">
        <v>8341</v>
      </c>
      <c r="D3938" s="1" t="s">
        <v>8338</v>
      </c>
      <c r="E3938" s="1" t="s">
        <v>8358</v>
      </c>
      <c r="F3938" s="1" t="str">
        <f>HYPERLINK("https://talan.bank.gov.ua/get-user-certificate/J5325tX0V8EZgjY-WKR-","Завантажити сертифікат")</f>
        <v>Завантажити сертифікат</v>
      </c>
    </row>
    <row r="3939" spans="1:6" x14ac:dyDescent="0.3">
      <c r="A3939" s="2">
        <v>3938</v>
      </c>
      <c r="B3939" s="1" t="s">
        <v>8359</v>
      </c>
      <c r="C3939" s="1" t="s">
        <v>8341</v>
      </c>
      <c r="D3939" s="1" t="s">
        <v>8338</v>
      </c>
      <c r="E3939" s="1" t="s">
        <v>8360</v>
      </c>
      <c r="F3939" s="1" t="str">
        <f>HYPERLINK("https://talan.bank.gov.ua/get-user-certificate/J5325Gy58QO_KVu7EEuK","Завантажити сертифікат")</f>
        <v>Завантажити сертифікат</v>
      </c>
    </row>
    <row r="3940" spans="1:6" x14ac:dyDescent="0.3">
      <c r="A3940" s="2">
        <v>3939</v>
      </c>
      <c r="B3940" s="1" t="s">
        <v>8361</v>
      </c>
      <c r="C3940" s="1" t="s">
        <v>8341</v>
      </c>
      <c r="D3940" s="1" t="s">
        <v>8338</v>
      </c>
      <c r="E3940" s="1" t="s">
        <v>8362</v>
      </c>
      <c r="F3940" s="1" t="str">
        <f>HYPERLINK("https://talan.bank.gov.ua/get-user-certificate/J5325rw6hYKuO_-jhjy3","Завантажити сертифікат")</f>
        <v>Завантажити сертифікат</v>
      </c>
    </row>
    <row r="3941" spans="1:6" x14ac:dyDescent="0.3">
      <c r="A3941" s="2">
        <v>3940</v>
      </c>
      <c r="B3941" s="1" t="s">
        <v>8363</v>
      </c>
      <c r="C3941" s="1" t="s">
        <v>8364</v>
      </c>
      <c r="D3941" s="1" t="s">
        <v>8365</v>
      </c>
      <c r="E3941" s="1" t="s">
        <v>8366</v>
      </c>
      <c r="F3941" s="1" t="str">
        <f>HYPERLINK("https://talan.bank.gov.ua/get-user-certificate/J53258GtcII4G8zUS4zt","Завантажити сертифікат")</f>
        <v>Завантажити сертифікат</v>
      </c>
    </row>
    <row r="3942" spans="1:6" x14ac:dyDescent="0.3">
      <c r="A3942" s="2">
        <v>3941</v>
      </c>
      <c r="B3942" s="1" t="s">
        <v>8367</v>
      </c>
      <c r="C3942" s="1" t="s">
        <v>8364</v>
      </c>
      <c r="D3942" s="1" t="s">
        <v>8365</v>
      </c>
      <c r="E3942" s="1" t="s">
        <v>8368</v>
      </c>
      <c r="F3942" s="1" t="str">
        <f>HYPERLINK("https://talan.bank.gov.ua/get-user-certificate/J5325fzJxYU9Fv15v9O8","Завантажити сертифікат")</f>
        <v>Завантажити сертифікат</v>
      </c>
    </row>
    <row r="3943" spans="1:6" x14ac:dyDescent="0.3">
      <c r="A3943" s="2">
        <v>3942</v>
      </c>
      <c r="B3943" s="1" t="s">
        <v>8369</v>
      </c>
      <c r="C3943" s="1" t="s">
        <v>8364</v>
      </c>
      <c r="D3943" s="1" t="s">
        <v>8365</v>
      </c>
      <c r="E3943" s="1" t="s">
        <v>8370</v>
      </c>
      <c r="F3943" s="1" t="str">
        <f>HYPERLINK("https://talan.bank.gov.ua/get-user-certificate/J53255KotchP45u8tp7T","Завантажити сертифікат")</f>
        <v>Завантажити сертифікат</v>
      </c>
    </row>
    <row r="3944" spans="1:6" x14ac:dyDescent="0.3">
      <c r="A3944" s="2">
        <v>3943</v>
      </c>
      <c r="B3944" s="1" t="s">
        <v>8371</v>
      </c>
      <c r="C3944" s="1" t="s">
        <v>8364</v>
      </c>
      <c r="D3944" s="1" t="s">
        <v>8365</v>
      </c>
      <c r="E3944" s="1" t="s">
        <v>8372</v>
      </c>
      <c r="F3944" s="1" t="str">
        <f>HYPERLINK("https://talan.bank.gov.ua/get-user-certificate/J5325PFHRxzHN8bCoqwW","Завантажити сертифікат")</f>
        <v>Завантажити сертифікат</v>
      </c>
    </row>
    <row r="3945" spans="1:6" x14ac:dyDescent="0.3">
      <c r="A3945" s="2">
        <v>3944</v>
      </c>
      <c r="B3945" s="1" t="s">
        <v>8373</v>
      </c>
      <c r="C3945" s="1" t="s">
        <v>8364</v>
      </c>
      <c r="D3945" s="1" t="s">
        <v>8365</v>
      </c>
      <c r="E3945" s="1" t="s">
        <v>8374</v>
      </c>
      <c r="F3945" s="1" t="str">
        <f>HYPERLINK("https://talan.bank.gov.ua/get-user-certificate/J5325PB3H2L459wWK8tv","Завантажити сертифікат")</f>
        <v>Завантажити сертифікат</v>
      </c>
    </row>
    <row r="3946" spans="1:6" x14ac:dyDescent="0.3">
      <c r="A3946" s="2">
        <v>3945</v>
      </c>
      <c r="B3946" s="1" t="s">
        <v>8375</v>
      </c>
      <c r="C3946" s="1" t="s">
        <v>8364</v>
      </c>
      <c r="D3946" s="1" t="s">
        <v>8365</v>
      </c>
      <c r="E3946" s="1" t="s">
        <v>8376</v>
      </c>
      <c r="F3946" s="1" t="str">
        <f>HYPERLINK("https://talan.bank.gov.ua/get-user-certificate/J5325gP1EAzMa3CnJdbo","Завантажити сертифікат")</f>
        <v>Завантажити сертифікат</v>
      </c>
    </row>
    <row r="3947" spans="1:6" x14ac:dyDescent="0.3">
      <c r="A3947" s="2">
        <v>3946</v>
      </c>
      <c r="B3947" s="1" t="s">
        <v>8377</v>
      </c>
      <c r="C3947" s="1" t="s">
        <v>8364</v>
      </c>
      <c r="D3947" s="1" t="s">
        <v>8365</v>
      </c>
      <c r="E3947" s="1" t="s">
        <v>8378</v>
      </c>
      <c r="F3947" s="1" t="str">
        <f>HYPERLINK("https://talan.bank.gov.ua/get-user-certificate/J5325D1KL03oMLTq5VVF","Завантажити сертифікат")</f>
        <v>Завантажити сертифікат</v>
      </c>
    </row>
    <row r="3948" spans="1:6" x14ac:dyDescent="0.3">
      <c r="A3948" s="2">
        <v>3947</v>
      </c>
      <c r="B3948" s="1" t="s">
        <v>8379</v>
      </c>
      <c r="C3948" s="1" t="s">
        <v>8364</v>
      </c>
      <c r="D3948" s="1" t="s">
        <v>8365</v>
      </c>
      <c r="E3948" s="1" t="s">
        <v>8380</v>
      </c>
      <c r="F3948" s="1" t="str">
        <f>HYPERLINK("https://talan.bank.gov.ua/get-user-certificate/J5325GhaY0dA-jPQ2bsA","Завантажити сертифікат")</f>
        <v>Завантажити сертифікат</v>
      </c>
    </row>
    <row r="3949" spans="1:6" x14ac:dyDescent="0.3">
      <c r="A3949" s="2">
        <v>3948</v>
      </c>
      <c r="B3949" s="1" t="s">
        <v>8381</v>
      </c>
      <c r="C3949" s="1" t="s">
        <v>8364</v>
      </c>
      <c r="D3949" s="1" t="s">
        <v>8365</v>
      </c>
      <c r="E3949" s="1" t="s">
        <v>8382</v>
      </c>
      <c r="F3949" s="1" t="str">
        <f>HYPERLINK("https://talan.bank.gov.ua/get-user-certificate/J5325VqC5l17Air7_jwH","Завантажити сертифікат")</f>
        <v>Завантажити сертифікат</v>
      </c>
    </row>
    <row r="3950" spans="1:6" x14ac:dyDescent="0.3">
      <c r="A3950" s="2">
        <v>3949</v>
      </c>
      <c r="B3950" s="1" t="s">
        <v>8383</v>
      </c>
      <c r="C3950" s="1" t="s">
        <v>8364</v>
      </c>
      <c r="D3950" s="1" t="s">
        <v>8365</v>
      </c>
      <c r="E3950" s="1" t="s">
        <v>8384</v>
      </c>
      <c r="F3950" s="1" t="str">
        <f>HYPERLINK("https://talan.bank.gov.ua/get-user-certificate/J5325CSMEDyWonip4A6e","Завантажити сертифікат")</f>
        <v>Завантажити сертифікат</v>
      </c>
    </row>
    <row r="3951" spans="1:6" x14ac:dyDescent="0.3">
      <c r="A3951" s="2">
        <v>3950</v>
      </c>
      <c r="B3951" s="1" t="s">
        <v>8385</v>
      </c>
      <c r="C3951" s="1" t="s">
        <v>8364</v>
      </c>
      <c r="D3951" s="1" t="s">
        <v>8365</v>
      </c>
      <c r="E3951" s="1" t="s">
        <v>8386</v>
      </c>
      <c r="F3951" s="1" t="str">
        <f>HYPERLINK("https://talan.bank.gov.ua/get-user-certificate/J532581Y5oRDSaPXed-I","Завантажити сертифікат")</f>
        <v>Завантажити сертифікат</v>
      </c>
    </row>
    <row r="3952" spans="1:6" x14ac:dyDescent="0.3">
      <c r="A3952" s="2">
        <v>3951</v>
      </c>
      <c r="B3952" s="1" t="s">
        <v>8387</v>
      </c>
      <c r="C3952" s="1" t="s">
        <v>8364</v>
      </c>
      <c r="D3952" s="1" t="s">
        <v>8365</v>
      </c>
      <c r="E3952" s="1" t="s">
        <v>8388</v>
      </c>
      <c r="F3952" s="1" t="str">
        <f>HYPERLINK("https://talan.bank.gov.ua/get-user-certificate/J5325hdIMWDkj6seSVet","Завантажити сертифікат")</f>
        <v>Завантажити сертифікат</v>
      </c>
    </row>
    <row r="3953" spans="1:6" ht="57.6" x14ac:dyDescent="0.3">
      <c r="A3953" s="2">
        <v>3952</v>
      </c>
      <c r="B3953" s="1" t="s">
        <v>8389</v>
      </c>
      <c r="C3953" s="1" t="s">
        <v>8390</v>
      </c>
      <c r="D3953" s="1" t="s">
        <v>8391</v>
      </c>
      <c r="E3953" s="1" t="s">
        <v>8392</v>
      </c>
      <c r="F3953" s="1" t="str">
        <f>HYPERLINK("https://talan.bank.gov.ua/get-user-certificate/J5325tntBo1PiRUaeZ6n","Завантажити сертифікат")</f>
        <v>Завантажити сертифікат</v>
      </c>
    </row>
    <row r="3954" spans="1:6" ht="28.8" x14ac:dyDescent="0.3">
      <c r="A3954" s="2">
        <v>3953</v>
      </c>
      <c r="B3954" s="1" t="s">
        <v>8393</v>
      </c>
      <c r="C3954" s="1" t="s">
        <v>8394</v>
      </c>
      <c r="D3954" s="1" t="s">
        <v>8395</v>
      </c>
      <c r="E3954" s="1" t="s">
        <v>8396</v>
      </c>
      <c r="F3954" s="1" t="str">
        <f>HYPERLINK("https://talan.bank.gov.ua/get-user-certificate/J5325Gt-aRC-CUTG0fk8","Завантажити сертифікат")</f>
        <v>Завантажити сертифікат</v>
      </c>
    </row>
    <row r="3955" spans="1:6" ht="28.8" x14ac:dyDescent="0.3">
      <c r="A3955" s="2">
        <v>3954</v>
      </c>
      <c r="B3955" s="1" t="s">
        <v>8397</v>
      </c>
      <c r="C3955" s="1" t="s">
        <v>8394</v>
      </c>
      <c r="D3955" s="1" t="s">
        <v>8395</v>
      </c>
      <c r="E3955" s="1" t="s">
        <v>8398</v>
      </c>
      <c r="F3955" s="1" t="str">
        <f>HYPERLINK("https://talan.bank.gov.ua/get-user-certificate/J5325jWK2sQa0pux1yk-","Завантажити сертифікат")</f>
        <v>Завантажити сертифікат</v>
      </c>
    </row>
    <row r="3956" spans="1:6" ht="28.8" x14ac:dyDescent="0.3">
      <c r="A3956" s="2">
        <v>3955</v>
      </c>
      <c r="B3956" s="1" t="s">
        <v>8399</v>
      </c>
      <c r="C3956" s="1" t="s">
        <v>8394</v>
      </c>
      <c r="D3956" s="1" t="s">
        <v>8395</v>
      </c>
      <c r="E3956" s="1" t="s">
        <v>8400</v>
      </c>
      <c r="F3956" s="1" t="str">
        <f>HYPERLINK("https://talan.bank.gov.ua/get-user-certificate/J5325qbKtIVtzMu8SB1_","Завантажити сертифікат")</f>
        <v>Завантажити сертифікат</v>
      </c>
    </row>
    <row r="3957" spans="1:6" ht="28.8" x14ac:dyDescent="0.3">
      <c r="A3957" s="2">
        <v>3956</v>
      </c>
      <c r="B3957" s="1" t="s">
        <v>8401</v>
      </c>
      <c r="C3957" s="1" t="s">
        <v>8394</v>
      </c>
      <c r="D3957" s="1" t="s">
        <v>8395</v>
      </c>
      <c r="E3957" s="1" t="s">
        <v>8402</v>
      </c>
      <c r="F3957" s="1" t="str">
        <f>HYPERLINK("https://talan.bank.gov.ua/get-user-certificate/J5325zRpkHA3m7PZT87w","Завантажити сертифікат")</f>
        <v>Завантажити сертифікат</v>
      </c>
    </row>
    <row r="3958" spans="1:6" ht="28.8" x14ac:dyDescent="0.3">
      <c r="A3958" s="2">
        <v>3957</v>
      </c>
      <c r="B3958" s="1" t="s">
        <v>8403</v>
      </c>
      <c r="C3958" s="1" t="s">
        <v>8394</v>
      </c>
      <c r="D3958" s="1" t="s">
        <v>8395</v>
      </c>
      <c r="E3958" s="1" t="s">
        <v>8404</v>
      </c>
      <c r="F3958" s="1" t="str">
        <f>HYPERLINK("https://talan.bank.gov.ua/get-user-certificate/J5325SosnGnHV40wgN-l","Завантажити сертифікат")</f>
        <v>Завантажити сертифікат</v>
      </c>
    </row>
    <row r="3959" spans="1:6" ht="28.8" x14ac:dyDescent="0.3">
      <c r="A3959" s="2">
        <v>3958</v>
      </c>
      <c r="B3959" s="1" t="s">
        <v>8405</v>
      </c>
      <c r="C3959" s="1" t="s">
        <v>8394</v>
      </c>
      <c r="D3959" s="1" t="s">
        <v>8395</v>
      </c>
      <c r="E3959" s="1" t="s">
        <v>8406</v>
      </c>
      <c r="F3959" s="1" t="str">
        <f>HYPERLINK("https://talan.bank.gov.ua/get-user-certificate/J5325nLnA-QAXUzlQqts","Завантажити сертифікат")</f>
        <v>Завантажити сертифікат</v>
      </c>
    </row>
    <row r="3960" spans="1:6" ht="28.8" x14ac:dyDescent="0.3">
      <c r="A3960" s="2">
        <v>3959</v>
      </c>
      <c r="B3960" s="1" t="s">
        <v>8407</v>
      </c>
      <c r="C3960" s="1" t="s">
        <v>8408</v>
      </c>
      <c r="D3960" s="1" t="s">
        <v>8409</v>
      </c>
      <c r="E3960" s="1" t="s">
        <v>8410</v>
      </c>
      <c r="F3960" s="1" t="str">
        <f>HYPERLINK("https://talan.bank.gov.ua/get-user-certificate/J5325pta38SL8oK7QPoa","Завантажити сертифікат")</f>
        <v>Завантажити сертифікат</v>
      </c>
    </row>
    <row r="3961" spans="1:6" ht="28.8" x14ac:dyDescent="0.3">
      <c r="A3961" s="2">
        <v>3960</v>
      </c>
      <c r="B3961" s="1" t="s">
        <v>8411</v>
      </c>
      <c r="C3961" s="1" t="s">
        <v>8408</v>
      </c>
      <c r="D3961" s="1" t="s">
        <v>8409</v>
      </c>
      <c r="E3961" s="1" t="s">
        <v>8412</v>
      </c>
      <c r="F3961" s="1" t="str">
        <f>HYPERLINK("https://talan.bank.gov.ua/get-user-certificate/J5325Y_nK0xsHNjqvEox","Завантажити сертифікат")</f>
        <v>Завантажити сертифікат</v>
      </c>
    </row>
    <row r="3962" spans="1:6" ht="28.8" x14ac:dyDescent="0.3">
      <c r="A3962" s="2">
        <v>3961</v>
      </c>
      <c r="B3962" s="1" t="s">
        <v>8413</v>
      </c>
      <c r="C3962" s="1" t="s">
        <v>8408</v>
      </c>
      <c r="D3962" s="1" t="s">
        <v>8409</v>
      </c>
      <c r="E3962" s="1" t="s">
        <v>8414</v>
      </c>
      <c r="F3962" s="1" t="str">
        <f>HYPERLINK("https://talan.bank.gov.ua/get-user-certificate/J5325srMs_0nAs-xkTFW","Завантажити сертифікат")</f>
        <v>Завантажити сертифікат</v>
      </c>
    </row>
    <row r="3963" spans="1:6" ht="28.8" x14ac:dyDescent="0.3">
      <c r="A3963" s="2">
        <v>3962</v>
      </c>
      <c r="B3963" s="1" t="s">
        <v>8415</v>
      </c>
      <c r="C3963" s="1" t="s">
        <v>8408</v>
      </c>
      <c r="D3963" s="1" t="s">
        <v>8409</v>
      </c>
      <c r="E3963" s="1" t="s">
        <v>8416</v>
      </c>
      <c r="F3963" s="1" t="str">
        <f>HYPERLINK("https://talan.bank.gov.ua/get-user-certificate/J5325_iIa7N3I2TTXjL_","Завантажити сертифікат")</f>
        <v>Завантажити сертифікат</v>
      </c>
    </row>
    <row r="3964" spans="1:6" ht="28.8" x14ac:dyDescent="0.3">
      <c r="A3964" s="2">
        <v>3963</v>
      </c>
      <c r="B3964" s="1" t="s">
        <v>8417</v>
      </c>
      <c r="C3964" s="1" t="s">
        <v>8408</v>
      </c>
      <c r="D3964" s="1" t="s">
        <v>8409</v>
      </c>
      <c r="E3964" s="1" t="s">
        <v>8418</v>
      </c>
      <c r="F3964" s="1" t="str">
        <f>HYPERLINK("https://talan.bank.gov.ua/get-user-certificate/J5325nHqiObbldpPYeJZ","Завантажити сертифікат")</f>
        <v>Завантажити сертифікат</v>
      </c>
    </row>
    <row r="3965" spans="1:6" ht="28.8" x14ac:dyDescent="0.3">
      <c r="A3965" s="2">
        <v>3964</v>
      </c>
      <c r="B3965" s="1" t="s">
        <v>8419</v>
      </c>
      <c r="C3965" s="1" t="s">
        <v>8408</v>
      </c>
      <c r="D3965" s="1" t="s">
        <v>8409</v>
      </c>
      <c r="E3965" s="1" t="s">
        <v>8420</v>
      </c>
      <c r="F3965" s="1" t="str">
        <f>HYPERLINK("https://talan.bank.gov.ua/get-user-certificate/J5325xhfmfzChIxtZ7XX","Завантажити сертифікат")</f>
        <v>Завантажити сертифікат</v>
      </c>
    </row>
    <row r="3966" spans="1:6" ht="43.2" x14ac:dyDescent="0.3">
      <c r="A3966" s="2">
        <v>3965</v>
      </c>
      <c r="B3966" s="1" t="s">
        <v>8421</v>
      </c>
      <c r="C3966" s="1" t="s">
        <v>8422</v>
      </c>
      <c r="D3966" s="1" t="s">
        <v>8423</v>
      </c>
      <c r="E3966" s="1" t="s">
        <v>8424</v>
      </c>
      <c r="F3966" s="1" t="str">
        <f>HYPERLINK("https://talan.bank.gov.ua/get-user-certificate/J5325A87rmxPHn7xGak7","Завантажити сертифікат")</f>
        <v>Завантажити сертифікат</v>
      </c>
    </row>
    <row r="3967" spans="1:6" ht="43.2" x14ac:dyDescent="0.3">
      <c r="A3967" s="2">
        <v>3966</v>
      </c>
      <c r="B3967" s="1" t="s">
        <v>8425</v>
      </c>
      <c r="C3967" s="1" t="s">
        <v>8422</v>
      </c>
      <c r="D3967" s="1" t="s">
        <v>8423</v>
      </c>
      <c r="E3967" s="1" t="s">
        <v>8426</v>
      </c>
      <c r="F3967" s="1" t="str">
        <f>HYPERLINK("https://talan.bank.gov.ua/get-user-certificate/J53250e203exFge0sU6m","Завантажити сертифікат")</f>
        <v>Завантажити сертифікат</v>
      </c>
    </row>
    <row r="3968" spans="1:6" ht="43.2" x14ac:dyDescent="0.3">
      <c r="A3968" s="2">
        <v>3967</v>
      </c>
      <c r="B3968" s="1" t="s">
        <v>8427</v>
      </c>
      <c r="C3968" s="1" t="s">
        <v>8422</v>
      </c>
      <c r="D3968" s="1" t="s">
        <v>8423</v>
      </c>
      <c r="E3968" s="1" t="s">
        <v>8428</v>
      </c>
      <c r="F3968" s="1" t="str">
        <f>HYPERLINK("https://talan.bank.gov.ua/get-user-certificate/J53251OGQ7dOOOjCyHRr","Завантажити сертифікат")</f>
        <v>Завантажити сертифікат</v>
      </c>
    </row>
    <row r="3969" spans="1:6" ht="43.2" x14ac:dyDescent="0.3">
      <c r="A3969" s="2">
        <v>3968</v>
      </c>
      <c r="B3969" s="1" t="s">
        <v>8429</v>
      </c>
      <c r="C3969" s="1" t="s">
        <v>8422</v>
      </c>
      <c r="D3969" s="1" t="s">
        <v>8423</v>
      </c>
      <c r="E3969" s="1" t="s">
        <v>8430</v>
      </c>
      <c r="F3969" s="1" t="str">
        <f>HYPERLINK("https://talan.bank.gov.ua/get-user-certificate/J5325B7EmUjTSQV1vLjg","Завантажити сертифікат")</f>
        <v>Завантажити сертифікат</v>
      </c>
    </row>
    <row r="3970" spans="1:6" ht="43.2" x14ac:dyDescent="0.3">
      <c r="A3970" s="2">
        <v>3969</v>
      </c>
      <c r="B3970" s="1" t="s">
        <v>8431</v>
      </c>
      <c r="C3970" s="1" t="s">
        <v>8422</v>
      </c>
      <c r="D3970" s="1" t="s">
        <v>8423</v>
      </c>
      <c r="E3970" s="1" t="s">
        <v>8432</v>
      </c>
      <c r="F3970" s="1" t="str">
        <f>HYPERLINK("https://talan.bank.gov.ua/get-user-certificate/J5325ijtVrjddgTnV5Sr","Завантажити сертифікат")</f>
        <v>Завантажити сертифікат</v>
      </c>
    </row>
    <row r="3971" spans="1:6" ht="43.2" x14ac:dyDescent="0.3">
      <c r="A3971" s="2">
        <v>3970</v>
      </c>
      <c r="B3971" s="1" t="s">
        <v>8433</v>
      </c>
      <c r="C3971" s="1" t="s">
        <v>8422</v>
      </c>
      <c r="D3971" s="1" t="s">
        <v>8423</v>
      </c>
      <c r="E3971" s="1" t="s">
        <v>8434</v>
      </c>
      <c r="F3971" s="1" t="str">
        <f>HYPERLINK("https://talan.bank.gov.ua/get-user-certificate/J5325iFlrnj5FBK6FQal","Завантажити сертифікат")</f>
        <v>Завантажити сертифікат</v>
      </c>
    </row>
    <row r="3972" spans="1:6" ht="28.8" x14ac:dyDescent="0.3">
      <c r="A3972" s="2">
        <v>3971</v>
      </c>
      <c r="B3972" s="1" t="s">
        <v>8435</v>
      </c>
      <c r="C3972" s="1" t="s">
        <v>8436</v>
      </c>
      <c r="D3972" s="1" t="s">
        <v>8437</v>
      </c>
      <c r="E3972" s="1" t="s">
        <v>8438</v>
      </c>
      <c r="F3972" s="1" t="str">
        <f>HYPERLINK("https://talan.bank.gov.ua/get-user-certificate/J5325zK2ijxKoU5HLAUP","Завантажити сертифікат")</f>
        <v>Завантажити сертифікат</v>
      </c>
    </row>
    <row r="3973" spans="1:6" ht="28.8" x14ac:dyDescent="0.3">
      <c r="A3973" s="2">
        <v>3972</v>
      </c>
      <c r="B3973" s="1" t="s">
        <v>8439</v>
      </c>
      <c r="C3973" s="1" t="s">
        <v>8436</v>
      </c>
      <c r="D3973" s="1" t="s">
        <v>8437</v>
      </c>
      <c r="E3973" s="1" t="s">
        <v>8440</v>
      </c>
      <c r="F3973" s="1" t="str">
        <f>HYPERLINK("https://talan.bank.gov.ua/get-user-certificate/J5325C89FPiGe8oVajbC","Завантажити сертифікат")</f>
        <v>Завантажити сертифікат</v>
      </c>
    </row>
    <row r="3974" spans="1:6" ht="28.8" x14ac:dyDescent="0.3">
      <c r="A3974" s="2">
        <v>3973</v>
      </c>
      <c r="B3974" s="1" t="s">
        <v>8441</v>
      </c>
      <c r="C3974" s="1" t="s">
        <v>8436</v>
      </c>
      <c r="D3974" s="1" t="s">
        <v>8437</v>
      </c>
      <c r="E3974" s="1" t="s">
        <v>8442</v>
      </c>
      <c r="F3974" s="1" t="str">
        <f>HYPERLINK("https://talan.bank.gov.ua/get-user-certificate/J5325UfTXM_UrOfVNdZP","Завантажити сертифікат")</f>
        <v>Завантажити сертифікат</v>
      </c>
    </row>
    <row r="3975" spans="1:6" ht="28.8" x14ac:dyDescent="0.3">
      <c r="A3975" s="2">
        <v>3974</v>
      </c>
      <c r="B3975" s="1" t="s">
        <v>8443</v>
      </c>
      <c r="C3975" s="1" t="s">
        <v>8436</v>
      </c>
      <c r="D3975" s="1" t="s">
        <v>8437</v>
      </c>
      <c r="E3975" s="1" t="s">
        <v>8444</v>
      </c>
      <c r="F3975" s="1" t="str">
        <f>HYPERLINK("https://talan.bank.gov.ua/get-user-certificate/J5325l4_g0qFAs8LuCao","Завантажити сертифікат")</f>
        <v>Завантажити сертифікат</v>
      </c>
    </row>
    <row r="3976" spans="1:6" ht="28.8" x14ac:dyDescent="0.3">
      <c r="A3976" s="2">
        <v>3975</v>
      </c>
      <c r="B3976" s="1" t="s">
        <v>8445</v>
      </c>
      <c r="C3976" s="1" t="s">
        <v>8436</v>
      </c>
      <c r="D3976" s="1" t="s">
        <v>8437</v>
      </c>
      <c r="E3976" s="1" t="s">
        <v>8446</v>
      </c>
      <c r="F3976" s="1" t="str">
        <f>HYPERLINK("https://talan.bank.gov.ua/get-user-certificate/J5325k9e9HingRNGxJ0Q","Завантажити сертифікат")</f>
        <v>Завантажити сертифікат</v>
      </c>
    </row>
    <row r="3977" spans="1:6" ht="28.8" x14ac:dyDescent="0.3">
      <c r="A3977" s="2">
        <v>3976</v>
      </c>
      <c r="B3977" s="1" t="s">
        <v>8447</v>
      </c>
      <c r="C3977" s="1" t="s">
        <v>8436</v>
      </c>
      <c r="D3977" s="1" t="s">
        <v>8437</v>
      </c>
      <c r="E3977" s="1" t="s">
        <v>8448</v>
      </c>
      <c r="F3977" s="1" t="str">
        <f>HYPERLINK("https://talan.bank.gov.ua/get-user-certificate/J5325YtisMdd8d2AXx4s","Завантажити сертифікат")</f>
        <v>Завантажити сертифікат</v>
      </c>
    </row>
    <row r="3978" spans="1:6" ht="28.8" x14ac:dyDescent="0.3">
      <c r="A3978" s="2">
        <v>3977</v>
      </c>
      <c r="B3978" s="1" t="s">
        <v>8449</v>
      </c>
      <c r="C3978" s="1" t="s">
        <v>8436</v>
      </c>
      <c r="D3978" s="1" t="s">
        <v>8437</v>
      </c>
      <c r="E3978" s="1" t="s">
        <v>8450</v>
      </c>
      <c r="F3978" s="1" t="str">
        <f>HYPERLINK("https://talan.bank.gov.ua/get-user-certificate/J5325vma1nmagjtOx0gU","Завантажити сертифікат")</f>
        <v>Завантажити сертифікат</v>
      </c>
    </row>
    <row r="3979" spans="1:6" ht="28.8" x14ac:dyDescent="0.3">
      <c r="A3979" s="2">
        <v>3978</v>
      </c>
      <c r="B3979" s="1" t="s">
        <v>8451</v>
      </c>
      <c r="C3979" s="1" t="s">
        <v>8452</v>
      </c>
      <c r="D3979" s="1" t="s">
        <v>8453</v>
      </c>
      <c r="E3979" s="1" t="s">
        <v>8454</v>
      </c>
      <c r="F3979" s="1" t="str">
        <f>HYPERLINK("https://talan.bank.gov.ua/get-user-certificate/J5325WRO7PmqQDjDLNd_","Завантажити сертифікат")</f>
        <v>Завантажити сертифікат</v>
      </c>
    </row>
    <row r="3980" spans="1:6" ht="28.8" x14ac:dyDescent="0.3">
      <c r="A3980" s="2">
        <v>3979</v>
      </c>
      <c r="B3980" s="1" t="s">
        <v>8455</v>
      </c>
      <c r="C3980" s="1" t="s">
        <v>8452</v>
      </c>
      <c r="D3980" s="1" t="s">
        <v>8453</v>
      </c>
      <c r="E3980" s="1" t="s">
        <v>8456</v>
      </c>
      <c r="F3980" s="1" t="str">
        <f>HYPERLINK("https://talan.bank.gov.ua/get-user-certificate/J5325eZ-eW-VwHijn9Jl","Завантажити сертифікат")</f>
        <v>Завантажити сертифікат</v>
      </c>
    </row>
    <row r="3981" spans="1:6" ht="28.8" x14ac:dyDescent="0.3">
      <c r="A3981" s="2">
        <v>3980</v>
      </c>
      <c r="B3981" s="1" t="s">
        <v>8457</v>
      </c>
      <c r="C3981" s="1" t="s">
        <v>8452</v>
      </c>
      <c r="D3981" s="1" t="s">
        <v>8453</v>
      </c>
      <c r="E3981" s="1" t="s">
        <v>8458</v>
      </c>
      <c r="F3981" s="1" t="str">
        <f>HYPERLINK("https://talan.bank.gov.ua/get-user-certificate/J5325xUSwJm1l3kgmU3e","Завантажити сертифікат")</f>
        <v>Завантажити сертифікат</v>
      </c>
    </row>
    <row r="3982" spans="1:6" ht="28.8" x14ac:dyDescent="0.3">
      <c r="A3982" s="2">
        <v>3981</v>
      </c>
      <c r="B3982" s="1" t="s">
        <v>8459</v>
      </c>
      <c r="C3982" s="1" t="s">
        <v>8452</v>
      </c>
      <c r="D3982" s="1" t="s">
        <v>8453</v>
      </c>
      <c r="E3982" s="1" t="s">
        <v>8460</v>
      </c>
      <c r="F3982" s="1" t="str">
        <f>HYPERLINK("https://talan.bank.gov.ua/get-user-certificate/J5325NtbsQm-RxCROpvU","Завантажити сертифікат")</f>
        <v>Завантажити сертифікат</v>
      </c>
    </row>
    <row r="3983" spans="1:6" ht="28.8" x14ac:dyDescent="0.3">
      <c r="A3983" s="2">
        <v>3982</v>
      </c>
      <c r="B3983" s="1" t="s">
        <v>8461</v>
      </c>
      <c r="C3983" s="1" t="s">
        <v>8452</v>
      </c>
      <c r="D3983" s="1" t="s">
        <v>8453</v>
      </c>
      <c r="E3983" s="1" t="s">
        <v>8462</v>
      </c>
      <c r="F3983" s="1" t="str">
        <f>HYPERLINK("https://talan.bank.gov.ua/get-user-certificate/J5325M8D9_hmgaWSeSqy","Завантажити сертифікат")</f>
        <v>Завантажити сертифікат</v>
      </c>
    </row>
    <row r="3984" spans="1:6" ht="28.8" x14ac:dyDescent="0.3">
      <c r="A3984" s="2">
        <v>3983</v>
      </c>
      <c r="B3984" s="1" t="s">
        <v>8463</v>
      </c>
      <c r="C3984" s="1" t="s">
        <v>8452</v>
      </c>
      <c r="D3984" s="1" t="s">
        <v>8453</v>
      </c>
      <c r="E3984" s="1" t="s">
        <v>8464</v>
      </c>
      <c r="F3984" s="1" t="str">
        <f>HYPERLINK("https://talan.bank.gov.ua/get-user-certificate/J5325jjREe2wFlP5vhIK","Завантажити сертифікат")</f>
        <v>Завантажити сертифікат</v>
      </c>
    </row>
    <row r="3985" spans="1:6" ht="28.8" x14ac:dyDescent="0.3">
      <c r="A3985" s="2">
        <v>3984</v>
      </c>
      <c r="B3985" s="1" t="s">
        <v>8465</v>
      </c>
      <c r="C3985" s="1" t="s">
        <v>8452</v>
      </c>
      <c r="D3985" s="1" t="s">
        <v>8453</v>
      </c>
      <c r="E3985" s="1" t="s">
        <v>8466</v>
      </c>
      <c r="F3985" s="1" t="str">
        <f>HYPERLINK("https://talan.bank.gov.ua/get-user-certificate/J5325uJrlG20HjvFIEF1","Завантажити сертифікат")</f>
        <v>Завантажити сертифікат</v>
      </c>
    </row>
    <row r="3986" spans="1:6" ht="28.8" x14ac:dyDescent="0.3">
      <c r="A3986" s="2">
        <v>3985</v>
      </c>
      <c r="B3986" s="1" t="s">
        <v>8467</v>
      </c>
      <c r="C3986" s="1" t="s">
        <v>8452</v>
      </c>
      <c r="D3986" s="1" t="s">
        <v>8453</v>
      </c>
      <c r="E3986" s="1" t="s">
        <v>8468</v>
      </c>
      <c r="F3986" s="1" t="str">
        <f>HYPERLINK("https://talan.bank.gov.ua/get-user-certificate/J5325vmaRehWfL2nPml3","Завантажити сертифікат")</f>
        <v>Завантажити сертифікат</v>
      </c>
    </row>
    <row r="3987" spans="1:6" ht="28.8" x14ac:dyDescent="0.3">
      <c r="A3987" s="2">
        <v>3986</v>
      </c>
      <c r="B3987" s="1" t="s">
        <v>8469</v>
      </c>
      <c r="C3987" s="1" t="s">
        <v>8452</v>
      </c>
      <c r="D3987" s="1" t="s">
        <v>8453</v>
      </c>
      <c r="E3987" s="1" t="s">
        <v>8470</v>
      </c>
      <c r="F3987" s="1" t="str">
        <f>HYPERLINK("https://talan.bank.gov.ua/get-user-certificate/J5325AFeqCka746NoqRw","Завантажити сертифікат")</f>
        <v>Завантажити сертифікат</v>
      </c>
    </row>
    <row r="3988" spans="1:6" ht="28.8" x14ac:dyDescent="0.3">
      <c r="A3988" s="2">
        <v>3987</v>
      </c>
      <c r="B3988" s="1" t="s">
        <v>8471</v>
      </c>
      <c r="C3988" s="1" t="s">
        <v>8452</v>
      </c>
      <c r="D3988" s="1" t="s">
        <v>8453</v>
      </c>
      <c r="E3988" s="1" t="s">
        <v>8472</v>
      </c>
      <c r="F3988" s="1" t="str">
        <f>HYPERLINK("https://talan.bank.gov.ua/get-user-certificate/J5325QHRN-i21aCyYdD9","Завантажити сертифікат")</f>
        <v>Завантажити сертифікат</v>
      </c>
    </row>
    <row r="3989" spans="1:6" ht="28.8" x14ac:dyDescent="0.3">
      <c r="A3989" s="2">
        <v>3988</v>
      </c>
      <c r="B3989" s="1" t="s">
        <v>8473</v>
      </c>
      <c r="C3989" s="1" t="s">
        <v>8452</v>
      </c>
      <c r="D3989" s="1" t="s">
        <v>8453</v>
      </c>
      <c r="E3989" s="1" t="s">
        <v>8474</v>
      </c>
      <c r="F3989" s="1" t="str">
        <f>HYPERLINK("https://talan.bank.gov.ua/get-user-certificate/J5325gGQiMbHTbidJui2","Завантажити сертифікат")</f>
        <v>Завантажити сертифікат</v>
      </c>
    </row>
    <row r="3990" spans="1:6" ht="28.8" x14ac:dyDescent="0.3">
      <c r="A3990" s="2">
        <v>3989</v>
      </c>
      <c r="B3990" s="1" t="s">
        <v>8475</v>
      </c>
      <c r="C3990" s="1" t="s">
        <v>8452</v>
      </c>
      <c r="D3990" s="1" t="s">
        <v>8453</v>
      </c>
      <c r="E3990" s="1" t="s">
        <v>8476</v>
      </c>
      <c r="F3990" s="1" t="str">
        <f>HYPERLINK("https://talan.bank.gov.ua/get-user-certificate/J53255CQm3PNwjmtDZwO","Завантажити сертифікат")</f>
        <v>Завантажити сертифікат</v>
      </c>
    </row>
    <row r="3991" spans="1:6" ht="28.8" x14ac:dyDescent="0.3">
      <c r="A3991" s="2">
        <v>3990</v>
      </c>
      <c r="B3991" s="1" t="s">
        <v>8477</v>
      </c>
      <c r="C3991" s="1" t="s">
        <v>8452</v>
      </c>
      <c r="D3991" s="1" t="s">
        <v>8453</v>
      </c>
      <c r="E3991" s="1" t="s">
        <v>8478</v>
      </c>
      <c r="F3991" s="1" t="str">
        <f>HYPERLINK("https://talan.bank.gov.ua/get-user-certificate/J5325ZE_HRZSHxMFn0-E","Завантажити сертифікат")</f>
        <v>Завантажити сертифікат</v>
      </c>
    </row>
    <row r="3992" spans="1:6" ht="28.8" x14ac:dyDescent="0.3">
      <c r="A3992" s="2">
        <v>3991</v>
      </c>
      <c r="B3992" s="1" t="s">
        <v>8479</v>
      </c>
      <c r="C3992" s="1" t="s">
        <v>8452</v>
      </c>
      <c r="D3992" s="1" t="s">
        <v>8453</v>
      </c>
      <c r="E3992" s="1" t="s">
        <v>8480</v>
      </c>
      <c r="F3992" s="1" t="str">
        <f>HYPERLINK("https://talan.bank.gov.ua/get-user-certificate/J53257nE_LK1sX__PX6O","Завантажити сертифікат")</f>
        <v>Завантажити сертифікат</v>
      </c>
    </row>
    <row r="3993" spans="1:6" ht="28.8" x14ac:dyDescent="0.3">
      <c r="A3993" s="2">
        <v>3992</v>
      </c>
      <c r="B3993" s="1" t="s">
        <v>8481</v>
      </c>
      <c r="C3993" s="1" t="s">
        <v>8452</v>
      </c>
      <c r="D3993" s="1" t="s">
        <v>8453</v>
      </c>
      <c r="E3993" s="1" t="s">
        <v>8482</v>
      </c>
      <c r="F3993" s="1" t="str">
        <f>HYPERLINK("https://talan.bank.gov.ua/get-user-certificate/J5325s7_op_FosWA6Lfd","Завантажити сертифікат")</f>
        <v>Завантажити сертифікат</v>
      </c>
    </row>
    <row r="3994" spans="1:6" ht="28.8" x14ac:dyDescent="0.3">
      <c r="A3994" s="2">
        <v>3993</v>
      </c>
      <c r="B3994" s="1" t="s">
        <v>8483</v>
      </c>
      <c r="C3994" s="1" t="s">
        <v>8452</v>
      </c>
      <c r="D3994" s="1" t="s">
        <v>8453</v>
      </c>
      <c r="E3994" s="1" t="s">
        <v>8484</v>
      </c>
      <c r="F3994" s="1" t="str">
        <f>HYPERLINK("https://talan.bank.gov.ua/get-user-certificate/J5325VfVpuW3ne-bVgpF","Завантажити сертифікат")</f>
        <v>Завантажити сертифікат</v>
      </c>
    </row>
    <row r="3995" spans="1:6" ht="28.8" x14ac:dyDescent="0.3">
      <c r="A3995" s="2">
        <v>3994</v>
      </c>
      <c r="B3995" s="1" t="s">
        <v>8485</v>
      </c>
      <c r="C3995" s="1" t="s">
        <v>8452</v>
      </c>
      <c r="D3995" s="1" t="s">
        <v>8453</v>
      </c>
      <c r="E3995" s="1" t="s">
        <v>7123</v>
      </c>
      <c r="F3995" s="1" t="str">
        <f>HYPERLINK("https://talan.bank.gov.ua/get-user-certificate/J5325VUxFSJ2-ujFGnZr","Завантажити сертифікат")</f>
        <v>Завантажити сертифікат</v>
      </c>
    </row>
    <row r="3996" spans="1:6" ht="28.8" x14ac:dyDescent="0.3">
      <c r="A3996" s="2">
        <v>3995</v>
      </c>
      <c r="B3996" s="1" t="s">
        <v>8486</v>
      </c>
      <c r="C3996" s="1" t="s">
        <v>8452</v>
      </c>
      <c r="D3996" s="1" t="s">
        <v>8453</v>
      </c>
      <c r="E3996" s="1" t="s">
        <v>8487</v>
      </c>
      <c r="F3996" s="1" t="str">
        <f>HYPERLINK("https://talan.bank.gov.ua/get-user-certificate/J5325i6dugbfUk6vGkea","Завантажити сертифікат")</f>
        <v>Завантажити сертифікат</v>
      </c>
    </row>
    <row r="3997" spans="1:6" ht="28.8" x14ac:dyDescent="0.3">
      <c r="A3997" s="2">
        <v>3996</v>
      </c>
      <c r="B3997" s="1" t="s">
        <v>8488</v>
      </c>
      <c r="C3997" s="1" t="s">
        <v>8452</v>
      </c>
      <c r="D3997" s="1" t="s">
        <v>8453</v>
      </c>
      <c r="E3997" s="1" t="s">
        <v>8489</v>
      </c>
      <c r="F3997" s="1" t="str">
        <f>HYPERLINK("https://talan.bank.gov.ua/get-user-certificate/J53257d6WNcTV01e2Phc","Завантажити сертифікат")</f>
        <v>Завантажити сертифікат</v>
      </c>
    </row>
    <row r="3998" spans="1:6" ht="28.8" x14ac:dyDescent="0.3">
      <c r="A3998" s="2">
        <v>3997</v>
      </c>
      <c r="B3998" s="1" t="s">
        <v>8490</v>
      </c>
      <c r="C3998" s="1" t="s">
        <v>8452</v>
      </c>
      <c r="D3998" s="1" t="s">
        <v>8453</v>
      </c>
      <c r="E3998" s="1" t="s">
        <v>8491</v>
      </c>
      <c r="F3998" s="1" t="str">
        <f>HYPERLINK("https://talan.bank.gov.ua/get-user-certificate/J5325TyV-_F9xZYZvrZM","Завантажити сертифікат")</f>
        <v>Завантажити сертифікат</v>
      </c>
    </row>
    <row r="3999" spans="1:6" ht="28.8" x14ac:dyDescent="0.3">
      <c r="A3999" s="2">
        <v>3998</v>
      </c>
      <c r="B3999" s="1" t="s">
        <v>8492</v>
      </c>
      <c r="C3999" s="1" t="s">
        <v>8452</v>
      </c>
      <c r="D3999" s="1" t="s">
        <v>8453</v>
      </c>
      <c r="E3999" s="1" t="s">
        <v>8493</v>
      </c>
      <c r="F3999" s="1" t="str">
        <f>HYPERLINK("https://talan.bank.gov.ua/get-user-certificate/J53256x24adwp5N72MIP","Завантажити сертифікат")</f>
        <v>Завантажити сертифікат</v>
      </c>
    </row>
    <row r="4000" spans="1:6" ht="28.8" x14ac:dyDescent="0.3">
      <c r="A4000" s="2">
        <v>3999</v>
      </c>
      <c r="B4000" s="1" t="s">
        <v>8494</v>
      </c>
      <c r="C4000" s="1" t="s">
        <v>8452</v>
      </c>
      <c r="D4000" s="1" t="s">
        <v>8453</v>
      </c>
      <c r="E4000" s="1" t="s">
        <v>8495</v>
      </c>
      <c r="F4000" s="1" t="str">
        <f>HYPERLINK("https://talan.bank.gov.ua/get-user-certificate/J5325LtKfApzokWvtsHh","Завантажити сертифікат")</f>
        <v>Завантажити сертифікат</v>
      </c>
    </row>
    <row r="4001" spans="1:6" ht="28.8" x14ac:dyDescent="0.3">
      <c r="A4001" s="2">
        <v>4000</v>
      </c>
      <c r="B4001" s="1" t="s">
        <v>8496</v>
      </c>
      <c r="C4001" s="1" t="s">
        <v>8452</v>
      </c>
      <c r="D4001" s="1" t="s">
        <v>8453</v>
      </c>
      <c r="E4001" s="1" t="s">
        <v>8497</v>
      </c>
      <c r="F4001" s="1" t="str">
        <f>HYPERLINK("https://talan.bank.gov.ua/get-user-certificate/J5325EEvIEAwfVONBscL","Завантажити сертифікат")</f>
        <v>Завантажити сертифікат</v>
      </c>
    </row>
    <row r="4002" spans="1:6" ht="28.8" x14ac:dyDescent="0.3">
      <c r="A4002" s="2">
        <v>4001</v>
      </c>
      <c r="B4002" s="1" t="s">
        <v>8498</v>
      </c>
      <c r="C4002" s="1" t="s">
        <v>8452</v>
      </c>
      <c r="D4002" s="1" t="s">
        <v>8453</v>
      </c>
      <c r="E4002" s="1" t="s">
        <v>8499</v>
      </c>
      <c r="F4002" s="1" t="str">
        <f>HYPERLINK("https://talan.bank.gov.ua/get-user-certificate/J5325JBlL9bp_0jmmpNL","Завантажити сертифікат")</f>
        <v>Завантажити сертифікат</v>
      </c>
    </row>
    <row r="4003" spans="1:6" ht="28.8" x14ac:dyDescent="0.3">
      <c r="A4003" s="2">
        <v>4002</v>
      </c>
      <c r="B4003" s="1" t="s">
        <v>8500</v>
      </c>
      <c r="C4003" s="1" t="s">
        <v>8452</v>
      </c>
      <c r="D4003" s="1" t="s">
        <v>8453</v>
      </c>
      <c r="E4003" s="1" t="s">
        <v>8501</v>
      </c>
      <c r="F4003" s="1" t="str">
        <f>HYPERLINK("https://talan.bank.gov.ua/get-user-certificate/J5325_Qtho0DJ5JgNfu_","Завантажити сертифікат")</f>
        <v>Завантажити сертифікат</v>
      </c>
    </row>
    <row r="4004" spans="1:6" ht="28.8" x14ac:dyDescent="0.3">
      <c r="A4004" s="2">
        <v>4003</v>
      </c>
      <c r="B4004" s="1" t="s">
        <v>8502</v>
      </c>
      <c r="C4004" s="1" t="s">
        <v>8452</v>
      </c>
      <c r="D4004" s="1" t="s">
        <v>8453</v>
      </c>
      <c r="E4004" s="1" t="s">
        <v>8503</v>
      </c>
      <c r="F4004" s="1" t="str">
        <f>HYPERLINK("https://talan.bank.gov.ua/get-user-certificate/J5325i_CIRL_Q1NWQAU-","Завантажити сертифікат")</f>
        <v>Завантажити сертифікат</v>
      </c>
    </row>
    <row r="4005" spans="1:6" ht="28.8" x14ac:dyDescent="0.3">
      <c r="A4005" s="2">
        <v>4004</v>
      </c>
      <c r="B4005" s="1" t="s">
        <v>8504</v>
      </c>
      <c r="C4005" s="1" t="s">
        <v>8452</v>
      </c>
      <c r="D4005" s="1" t="s">
        <v>8453</v>
      </c>
      <c r="E4005" s="1" t="s">
        <v>8505</v>
      </c>
      <c r="F4005" s="1" t="str">
        <f>HYPERLINK("https://talan.bank.gov.ua/get-user-certificate/J5325QqDhIGOL6di5UzM","Завантажити сертифікат")</f>
        <v>Завантажити сертифікат</v>
      </c>
    </row>
    <row r="4006" spans="1:6" ht="28.8" x14ac:dyDescent="0.3">
      <c r="A4006" s="2">
        <v>4005</v>
      </c>
      <c r="B4006" s="1" t="s">
        <v>8506</v>
      </c>
      <c r="C4006" s="1" t="s">
        <v>8452</v>
      </c>
      <c r="D4006" s="1" t="s">
        <v>8453</v>
      </c>
      <c r="E4006" s="1" t="s">
        <v>8507</v>
      </c>
      <c r="F4006" s="1" t="str">
        <f>HYPERLINK("https://talan.bank.gov.ua/get-user-certificate/J5325x_z_W0YiKSKesTl","Завантажити сертифікат")</f>
        <v>Завантажити сертифікат</v>
      </c>
    </row>
    <row r="4007" spans="1:6" ht="28.8" x14ac:dyDescent="0.3">
      <c r="A4007" s="2">
        <v>4006</v>
      </c>
      <c r="B4007" s="1" t="s">
        <v>8508</v>
      </c>
      <c r="C4007" s="1" t="s">
        <v>8452</v>
      </c>
      <c r="D4007" s="1" t="s">
        <v>8453</v>
      </c>
      <c r="E4007" s="1" t="s">
        <v>8509</v>
      </c>
      <c r="F4007" s="1" t="str">
        <f>HYPERLINK("https://talan.bank.gov.ua/get-user-certificate/J5325jtMuvOYQeMCGy3U","Завантажити сертифікат")</f>
        <v>Завантажити сертифікат</v>
      </c>
    </row>
    <row r="4008" spans="1:6" ht="28.8" x14ac:dyDescent="0.3">
      <c r="A4008" s="2">
        <v>4007</v>
      </c>
      <c r="B4008" s="1" t="s">
        <v>8510</v>
      </c>
      <c r="C4008" s="1" t="s">
        <v>8452</v>
      </c>
      <c r="D4008" s="1" t="s">
        <v>8453</v>
      </c>
      <c r="E4008" s="1" t="s">
        <v>8511</v>
      </c>
      <c r="F4008" s="1" t="str">
        <f>HYPERLINK("https://talan.bank.gov.ua/get-user-certificate/J5325IoGD0_WDFazZunk","Завантажити сертифікат")</f>
        <v>Завантажити сертифікат</v>
      </c>
    </row>
    <row r="4009" spans="1:6" ht="28.8" x14ac:dyDescent="0.3">
      <c r="A4009" s="2">
        <v>4008</v>
      </c>
      <c r="B4009" s="1" t="s">
        <v>8512</v>
      </c>
      <c r="C4009" s="1" t="s">
        <v>8452</v>
      </c>
      <c r="D4009" s="1" t="s">
        <v>8453</v>
      </c>
      <c r="E4009" s="1" t="s">
        <v>8513</v>
      </c>
      <c r="F4009" s="1" t="str">
        <f>HYPERLINK("https://talan.bank.gov.ua/get-user-certificate/J5325HeyzwnVoNzZbqxX","Завантажити сертифікат")</f>
        <v>Завантажити сертифікат</v>
      </c>
    </row>
    <row r="4010" spans="1:6" ht="28.8" x14ac:dyDescent="0.3">
      <c r="A4010" s="2">
        <v>4009</v>
      </c>
      <c r="B4010" s="1" t="s">
        <v>8514</v>
      </c>
      <c r="C4010" s="1" t="s">
        <v>8452</v>
      </c>
      <c r="D4010" s="1" t="s">
        <v>8453</v>
      </c>
      <c r="E4010" s="1" t="s">
        <v>8515</v>
      </c>
      <c r="F4010" s="1" t="str">
        <f>HYPERLINK("https://talan.bank.gov.ua/get-user-certificate/J532546jkcRNOo3Rh9XJ","Завантажити сертифікат")</f>
        <v>Завантажити сертифікат</v>
      </c>
    </row>
    <row r="4011" spans="1:6" ht="28.8" x14ac:dyDescent="0.3">
      <c r="A4011" s="2">
        <v>4010</v>
      </c>
      <c r="B4011" s="1" t="s">
        <v>8516</v>
      </c>
      <c r="C4011" s="1" t="s">
        <v>8452</v>
      </c>
      <c r="D4011" s="1" t="s">
        <v>8453</v>
      </c>
      <c r="E4011" s="1" t="s">
        <v>8517</v>
      </c>
      <c r="F4011" s="1" t="str">
        <f>HYPERLINK("https://talan.bank.gov.ua/get-user-certificate/J5325SZcTZfKiXyJMfPv","Завантажити сертифікат")</f>
        <v>Завантажити сертифікат</v>
      </c>
    </row>
    <row r="4012" spans="1:6" ht="28.8" x14ac:dyDescent="0.3">
      <c r="A4012" s="2">
        <v>4011</v>
      </c>
      <c r="B4012" s="1" t="s">
        <v>8518</v>
      </c>
      <c r="C4012" s="1" t="s">
        <v>8452</v>
      </c>
      <c r="D4012" s="1" t="s">
        <v>8453</v>
      </c>
      <c r="E4012" s="1" t="s">
        <v>8519</v>
      </c>
      <c r="F4012" s="1" t="str">
        <f>HYPERLINK("https://talan.bank.gov.ua/get-user-certificate/J5325Y7HgNLW3EGCRh4h","Завантажити сертифікат")</f>
        <v>Завантажити сертифікат</v>
      </c>
    </row>
    <row r="4013" spans="1:6" ht="28.8" x14ac:dyDescent="0.3">
      <c r="A4013" s="2">
        <v>4012</v>
      </c>
      <c r="B4013" s="1" t="s">
        <v>8520</v>
      </c>
      <c r="C4013" s="1" t="s">
        <v>8452</v>
      </c>
      <c r="D4013" s="1" t="s">
        <v>8453</v>
      </c>
      <c r="E4013" s="1" t="s">
        <v>8521</v>
      </c>
      <c r="F4013" s="1" t="str">
        <f>HYPERLINK("https://talan.bank.gov.ua/get-user-certificate/J5325ziVubHx8xrSJMyg","Завантажити сертифікат")</f>
        <v>Завантажити сертифікат</v>
      </c>
    </row>
    <row r="4014" spans="1:6" ht="57.6" x14ac:dyDescent="0.3">
      <c r="A4014" s="2">
        <v>4013</v>
      </c>
      <c r="B4014" s="1" t="s">
        <v>8522</v>
      </c>
      <c r="C4014" s="1" t="s">
        <v>8523</v>
      </c>
      <c r="D4014" s="1" t="s">
        <v>8524</v>
      </c>
      <c r="E4014" s="1" t="s">
        <v>8525</v>
      </c>
      <c r="F4014" s="1" t="str">
        <f>HYPERLINK("https://talan.bank.gov.ua/get-user-certificate/J53258rvQ6VVQlNUY9d5","Завантажити сертифікат")</f>
        <v>Завантажити сертифікат</v>
      </c>
    </row>
    <row r="4015" spans="1:6" ht="57.6" x14ac:dyDescent="0.3">
      <c r="A4015" s="2">
        <v>4014</v>
      </c>
      <c r="B4015" s="1" t="s">
        <v>8526</v>
      </c>
      <c r="C4015" s="1" t="s">
        <v>8523</v>
      </c>
      <c r="D4015" s="1" t="s">
        <v>8524</v>
      </c>
      <c r="E4015" s="1" t="s">
        <v>8527</v>
      </c>
      <c r="F4015" s="1" t="str">
        <f>HYPERLINK("https://talan.bank.gov.ua/get-user-certificate/J5325pCX4R2WpyAW-2jF","Завантажити сертифікат")</f>
        <v>Завантажити сертифікат</v>
      </c>
    </row>
    <row r="4016" spans="1:6" ht="57.6" x14ac:dyDescent="0.3">
      <c r="A4016" s="2">
        <v>4015</v>
      </c>
      <c r="B4016" s="1" t="s">
        <v>8528</v>
      </c>
      <c r="C4016" s="1" t="s">
        <v>8523</v>
      </c>
      <c r="D4016" s="1" t="s">
        <v>8524</v>
      </c>
      <c r="E4016" s="1" t="s">
        <v>8529</v>
      </c>
      <c r="F4016" s="1" t="str">
        <f>HYPERLINK("https://talan.bank.gov.ua/get-user-certificate/J5325PmbLdWUreNcXbpA","Завантажити сертифікат")</f>
        <v>Завантажити сертифікат</v>
      </c>
    </row>
    <row r="4017" spans="1:6" ht="57.6" x14ac:dyDescent="0.3">
      <c r="A4017" s="2">
        <v>4016</v>
      </c>
      <c r="B4017" s="1" t="s">
        <v>8530</v>
      </c>
      <c r="C4017" s="1" t="s">
        <v>8523</v>
      </c>
      <c r="D4017" s="1" t="s">
        <v>8524</v>
      </c>
      <c r="E4017" s="1" t="s">
        <v>8531</v>
      </c>
      <c r="F4017" s="1" t="str">
        <f>HYPERLINK("https://talan.bank.gov.ua/get-user-certificate/J5325Pf9lgtlup1beUrF","Завантажити сертифікат")</f>
        <v>Завантажити сертифікат</v>
      </c>
    </row>
    <row r="4018" spans="1:6" ht="57.6" x14ac:dyDescent="0.3">
      <c r="A4018" s="2">
        <v>4017</v>
      </c>
      <c r="B4018" s="1" t="s">
        <v>8532</v>
      </c>
      <c r="C4018" s="1" t="s">
        <v>8523</v>
      </c>
      <c r="D4018" s="1" t="s">
        <v>8524</v>
      </c>
      <c r="E4018" s="1" t="s">
        <v>8533</v>
      </c>
      <c r="F4018" s="1" t="str">
        <f>HYPERLINK("https://talan.bank.gov.ua/get-user-certificate/J5325q0-kpFQOR9tzbtA","Завантажити сертифікат")</f>
        <v>Завантажити сертифікат</v>
      </c>
    </row>
    <row r="4019" spans="1:6" x14ac:dyDescent="0.3">
      <c r="A4019" s="2">
        <v>4018</v>
      </c>
      <c r="B4019" s="1" t="s">
        <v>8534</v>
      </c>
      <c r="C4019" s="1" t="s">
        <v>8535</v>
      </c>
      <c r="D4019" s="1" t="s">
        <v>8536</v>
      </c>
      <c r="E4019" s="1" t="s">
        <v>8537</v>
      </c>
      <c r="F4019" s="1" t="str">
        <f>HYPERLINK("https://talan.bank.gov.ua/get-user-certificate/J53259XM0w6TJhzGCGz-","Завантажити сертифікат")</f>
        <v>Завантажити сертифікат</v>
      </c>
    </row>
    <row r="4020" spans="1:6" x14ac:dyDescent="0.3">
      <c r="A4020" s="2">
        <v>4019</v>
      </c>
      <c r="B4020" s="1" t="s">
        <v>8538</v>
      </c>
      <c r="C4020" s="1" t="s">
        <v>8535</v>
      </c>
      <c r="D4020" s="1" t="s">
        <v>8536</v>
      </c>
      <c r="E4020" s="1" t="s">
        <v>8539</v>
      </c>
      <c r="F4020" s="1" t="str">
        <f>HYPERLINK("https://talan.bank.gov.ua/get-user-certificate/J5325aTXBcwC5FgG2SRT","Завантажити сертифікат")</f>
        <v>Завантажити сертифікат</v>
      </c>
    </row>
    <row r="4021" spans="1:6" x14ac:dyDescent="0.3">
      <c r="A4021" s="2">
        <v>4020</v>
      </c>
      <c r="B4021" s="1" t="s">
        <v>8540</v>
      </c>
      <c r="C4021" s="1" t="s">
        <v>8535</v>
      </c>
      <c r="D4021" s="1" t="s">
        <v>8536</v>
      </c>
      <c r="E4021" s="1" t="s">
        <v>8541</v>
      </c>
      <c r="F4021" s="1" t="str">
        <f>HYPERLINK("https://talan.bank.gov.ua/get-user-certificate/J53256tFm4Cjomle1-Ui","Завантажити сертифікат")</f>
        <v>Завантажити сертифікат</v>
      </c>
    </row>
    <row r="4022" spans="1:6" x14ac:dyDescent="0.3">
      <c r="A4022" s="2">
        <v>4021</v>
      </c>
      <c r="B4022" s="1" t="s">
        <v>8542</v>
      </c>
      <c r="C4022" s="1" t="s">
        <v>8535</v>
      </c>
      <c r="D4022" s="1" t="s">
        <v>8536</v>
      </c>
      <c r="E4022" s="1" t="s">
        <v>8543</v>
      </c>
      <c r="F4022" s="1" t="str">
        <f>HYPERLINK("https://talan.bank.gov.ua/get-user-certificate/J5325VpAqKGlOWbJBaxx","Завантажити сертифікат")</f>
        <v>Завантажити сертифікат</v>
      </c>
    </row>
    <row r="4023" spans="1:6" x14ac:dyDescent="0.3">
      <c r="A4023" s="2">
        <v>4022</v>
      </c>
      <c r="B4023" s="1" t="s">
        <v>8544</v>
      </c>
      <c r="C4023" s="1" t="s">
        <v>8535</v>
      </c>
      <c r="D4023" s="1" t="s">
        <v>8536</v>
      </c>
      <c r="E4023" s="1" t="s">
        <v>8545</v>
      </c>
      <c r="F4023" s="1" t="str">
        <f>HYPERLINK("https://talan.bank.gov.ua/get-user-certificate/J5325T685Jlu93MKRTue","Завантажити сертифікат")</f>
        <v>Завантажити сертифікат</v>
      </c>
    </row>
    <row r="4024" spans="1:6" x14ac:dyDescent="0.3">
      <c r="A4024" s="2">
        <v>4023</v>
      </c>
      <c r="B4024" s="1" t="s">
        <v>8546</v>
      </c>
      <c r="C4024" s="1" t="s">
        <v>8535</v>
      </c>
      <c r="D4024" s="1" t="s">
        <v>8536</v>
      </c>
      <c r="E4024" s="1" t="s">
        <v>8547</v>
      </c>
      <c r="F4024" s="1" t="str">
        <f>HYPERLINK("https://talan.bank.gov.ua/get-user-certificate/J53252UIYqbJtK4JPU_z","Завантажити сертифікат")</f>
        <v>Завантажити сертифікат</v>
      </c>
    </row>
    <row r="4025" spans="1:6" x14ac:dyDescent="0.3">
      <c r="A4025" s="2">
        <v>4024</v>
      </c>
      <c r="B4025" s="1" t="s">
        <v>8548</v>
      </c>
      <c r="C4025" s="1" t="s">
        <v>8535</v>
      </c>
      <c r="D4025" s="1" t="s">
        <v>8536</v>
      </c>
      <c r="E4025" s="1" t="s">
        <v>8549</v>
      </c>
      <c r="F4025" s="1" t="str">
        <f>HYPERLINK("https://talan.bank.gov.ua/get-user-certificate/J5325I5gGopMs-zFmHbw","Завантажити сертифікат")</f>
        <v>Завантажити сертифікат</v>
      </c>
    </row>
    <row r="4026" spans="1:6" x14ac:dyDescent="0.3">
      <c r="A4026" s="2">
        <v>4025</v>
      </c>
      <c r="B4026" s="1" t="s">
        <v>8550</v>
      </c>
      <c r="C4026" s="1" t="s">
        <v>8535</v>
      </c>
      <c r="D4026" s="1" t="s">
        <v>8536</v>
      </c>
      <c r="E4026" s="1" t="s">
        <v>8551</v>
      </c>
      <c r="F4026" s="1" t="str">
        <f>HYPERLINK("https://talan.bank.gov.ua/get-user-certificate/J5325CoWCYQyb4SStwMP","Завантажити сертифікат")</f>
        <v>Завантажити сертифікат</v>
      </c>
    </row>
    <row r="4027" spans="1:6" x14ac:dyDescent="0.3">
      <c r="A4027" s="2">
        <v>4026</v>
      </c>
      <c r="B4027" s="1" t="s">
        <v>8552</v>
      </c>
      <c r="C4027" s="1" t="s">
        <v>8535</v>
      </c>
      <c r="D4027" s="1" t="s">
        <v>8536</v>
      </c>
      <c r="E4027" s="1" t="s">
        <v>8553</v>
      </c>
      <c r="F4027" s="1" t="str">
        <f>HYPERLINK("https://talan.bank.gov.ua/get-user-certificate/J5325EeOVUUxBRrWf7np","Завантажити сертифікат")</f>
        <v>Завантажити сертифікат</v>
      </c>
    </row>
    <row r="4028" spans="1:6" x14ac:dyDescent="0.3">
      <c r="A4028" s="2">
        <v>4027</v>
      </c>
      <c r="B4028" s="1" t="s">
        <v>8554</v>
      </c>
      <c r="C4028" s="1" t="s">
        <v>8535</v>
      </c>
      <c r="D4028" s="1" t="s">
        <v>8536</v>
      </c>
      <c r="E4028" s="1" t="s">
        <v>8555</v>
      </c>
      <c r="F4028" s="1" t="str">
        <f>HYPERLINK("https://talan.bank.gov.ua/get-user-certificate/J53254aNrAp66kPs3eat","Завантажити сертифікат")</f>
        <v>Завантажити сертифікат</v>
      </c>
    </row>
    <row r="4029" spans="1:6" x14ac:dyDescent="0.3">
      <c r="A4029" s="2">
        <v>4028</v>
      </c>
      <c r="B4029" s="1" t="s">
        <v>8556</v>
      </c>
      <c r="C4029" s="1" t="s">
        <v>8535</v>
      </c>
      <c r="D4029" s="1" t="s">
        <v>8536</v>
      </c>
      <c r="E4029" s="1" t="s">
        <v>8557</v>
      </c>
      <c r="F4029" s="1" t="str">
        <f>HYPERLINK("https://talan.bank.gov.ua/get-user-certificate/J5325vTpB4s-iO-NSiMV","Завантажити сертифікат")</f>
        <v>Завантажити сертифікат</v>
      </c>
    </row>
    <row r="4030" spans="1:6" x14ac:dyDescent="0.3">
      <c r="A4030" s="2">
        <v>4029</v>
      </c>
      <c r="B4030" s="1" t="s">
        <v>8558</v>
      </c>
      <c r="C4030" s="1" t="s">
        <v>8535</v>
      </c>
      <c r="D4030" s="1" t="s">
        <v>8536</v>
      </c>
      <c r="E4030" s="1" t="s">
        <v>8559</v>
      </c>
      <c r="F4030" s="1" t="str">
        <f>HYPERLINK("https://talan.bank.gov.ua/get-user-certificate/J5325M1GT--4jcTO8rNa","Завантажити сертифікат")</f>
        <v>Завантажити сертифікат</v>
      </c>
    </row>
    <row r="4031" spans="1:6" x14ac:dyDescent="0.3">
      <c r="A4031" s="2">
        <v>4030</v>
      </c>
      <c r="B4031" s="1" t="s">
        <v>8560</v>
      </c>
      <c r="C4031" s="1" t="s">
        <v>8535</v>
      </c>
      <c r="D4031" s="1" t="s">
        <v>8536</v>
      </c>
      <c r="E4031" s="1" t="s">
        <v>8561</v>
      </c>
      <c r="F4031" s="1" t="str">
        <f>HYPERLINK("https://talan.bank.gov.ua/get-user-certificate/J5325w5L5yukbQQ7DL0i","Завантажити сертифікат")</f>
        <v>Завантажити сертифікат</v>
      </c>
    </row>
    <row r="4032" spans="1:6" x14ac:dyDescent="0.3">
      <c r="A4032" s="2">
        <v>4031</v>
      </c>
      <c r="B4032" s="1" t="s">
        <v>8562</v>
      </c>
      <c r="C4032" s="1" t="s">
        <v>8535</v>
      </c>
      <c r="D4032" s="1" t="s">
        <v>8536</v>
      </c>
      <c r="E4032" s="1" t="s">
        <v>8563</v>
      </c>
      <c r="F4032" s="1" t="str">
        <f>HYPERLINK("https://talan.bank.gov.ua/get-user-certificate/J5325k8ATl1L4RxwvDJF","Завантажити сертифікат")</f>
        <v>Завантажити сертифікат</v>
      </c>
    </row>
    <row r="4033" spans="1:6" x14ac:dyDescent="0.3">
      <c r="A4033" s="2">
        <v>4032</v>
      </c>
      <c r="B4033" s="1" t="s">
        <v>8564</v>
      </c>
      <c r="C4033" s="1" t="s">
        <v>8535</v>
      </c>
      <c r="D4033" s="1" t="s">
        <v>8536</v>
      </c>
      <c r="E4033" s="1" t="s">
        <v>8565</v>
      </c>
      <c r="F4033" s="1" t="str">
        <f>HYPERLINK("https://talan.bank.gov.ua/get-user-certificate/J5325wMarmq4zXMQHFrq","Завантажити сертифікат")</f>
        <v>Завантажити сертифікат</v>
      </c>
    </row>
    <row r="4034" spans="1:6" x14ac:dyDescent="0.3">
      <c r="A4034" s="2">
        <v>4033</v>
      </c>
      <c r="B4034" s="1" t="s">
        <v>8566</v>
      </c>
      <c r="C4034" s="1" t="s">
        <v>8535</v>
      </c>
      <c r="D4034" s="1" t="s">
        <v>8536</v>
      </c>
      <c r="E4034" s="1" t="s">
        <v>8567</v>
      </c>
      <c r="F4034" s="1" t="str">
        <f>HYPERLINK("https://talan.bank.gov.ua/get-user-certificate/J5325elC4M7NGBXoE6FG","Завантажити сертифікат")</f>
        <v>Завантажити сертифікат</v>
      </c>
    </row>
    <row r="4035" spans="1:6" x14ac:dyDescent="0.3">
      <c r="A4035" s="2">
        <v>4034</v>
      </c>
      <c r="B4035" s="1" t="s">
        <v>8568</v>
      </c>
      <c r="C4035" s="1" t="s">
        <v>8535</v>
      </c>
      <c r="D4035" s="1" t="s">
        <v>8536</v>
      </c>
      <c r="E4035" s="1" t="s">
        <v>8569</v>
      </c>
      <c r="F4035" s="1" t="str">
        <f>HYPERLINK("https://talan.bank.gov.ua/get-user-certificate/J5325olwA1VXujlqLI6d","Завантажити сертифікат")</f>
        <v>Завантажити сертифікат</v>
      </c>
    </row>
    <row r="4036" spans="1:6" x14ac:dyDescent="0.3">
      <c r="A4036" s="2">
        <v>4035</v>
      </c>
      <c r="B4036" s="1" t="s">
        <v>8570</v>
      </c>
      <c r="C4036" s="1" t="s">
        <v>8535</v>
      </c>
      <c r="D4036" s="1" t="s">
        <v>8536</v>
      </c>
      <c r="E4036" s="1" t="s">
        <v>8571</v>
      </c>
      <c r="F4036" s="1" t="str">
        <f>HYPERLINK("https://talan.bank.gov.ua/get-user-certificate/J5325aFPPNKX9x66K3i0","Завантажити сертифікат")</f>
        <v>Завантажити сертифікат</v>
      </c>
    </row>
    <row r="4037" spans="1:6" x14ac:dyDescent="0.3">
      <c r="A4037" s="2">
        <v>4036</v>
      </c>
      <c r="B4037" s="1" t="s">
        <v>8572</v>
      </c>
      <c r="C4037" s="1" t="s">
        <v>8535</v>
      </c>
      <c r="D4037" s="1" t="s">
        <v>8536</v>
      </c>
      <c r="E4037" s="1" t="s">
        <v>8573</v>
      </c>
      <c r="F4037" s="1" t="str">
        <f>HYPERLINK("https://talan.bank.gov.ua/get-user-certificate/J5325wSJ0o2e7c359-Vs","Завантажити сертифікат")</f>
        <v>Завантажити сертифікат</v>
      </c>
    </row>
    <row r="4038" spans="1:6" x14ac:dyDescent="0.3">
      <c r="A4038" s="2">
        <v>4037</v>
      </c>
      <c r="B4038" s="1" t="s">
        <v>8574</v>
      </c>
      <c r="C4038" s="1" t="s">
        <v>8535</v>
      </c>
      <c r="D4038" s="1" t="s">
        <v>8536</v>
      </c>
      <c r="E4038" s="1" t="s">
        <v>8575</v>
      </c>
      <c r="F4038" s="1" t="str">
        <f>HYPERLINK("https://talan.bank.gov.ua/get-user-certificate/J5325b1YQ5GzDxlnjeTv","Завантажити сертифікат")</f>
        <v>Завантажити сертифікат</v>
      </c>
    </row>
    <row r="4039" spans="1:6" x14ac:dyDescent="0.3">
      <c r="A4039" s="2">
        <v>4038</v>
      </c>
      <c r="B4039" s="1" t="s">
        <v>8576</v>
      </c>
      <c r="C4039" s="1" t="s">
        <v>8535</v>
      </c>
      <c r="D4039" s="1" t="s">
        <v>8536</v>
      </c>
      <c r="E4039" s="1" t="s">
        <v>8577</v>
      </c>
      <c r="F4039" s="1" t="str">
        <f>HYPERLINK("https://talan.bank.gov.ua/get-user-certificate/J5325d8sUlka2nRz7_tJ","Завантажити сертифікат")</f>
        <v>Завантажити сертифікат</v>
      </c>
    </row>
    <row r="4040" spans="1:6" x14ac:dyDescent="0.3">
      <c r="A4040" s="2">
        <v>4039</v>
      </c>
      <c r="B4040" s="1" t="s">
        <v>8578</v>
      </c>
      <c r="C4040" s="1" t="s">
        <v>8535</v>
      </c>
      <c r="D4040" s="1" t="s">
        <v>8536</v>
      </c>
      <c r="E4040" s="1" t="s">
        <v>8579</v>
      </c>
      <c r="F4040" s="1" t="str">
        <f>HYPERLINK("https://talan.bank.gov.ua/get-user-certificate/J5325H7gT0FrWTvNlJXn","Завантажити сертифікат")</f>
        <v>Завантажити сертифікат</v>
      </c>
    </row>
    <row r="4041" spans="1:6" x14ac:dyDescent="0.3">
      <c r="A4041" s="2">
        <v>4040</v>
      </c>
      <c r="B4041" s="1" t="s">
        <v>8580</v>
      </c>
      <c r="C4041" s="1" t="s">
        <v>8535</v>
      </c>
      <c r="D4041" s="1" t="s">
        <v>8536</v>
      </c>
      <c r="E4041" s="1" t="s">
        <v>8581</v>
      </c>
      <c r="F4041" s="1" t="str">
        <f>HYPERLINK("https://talan.bank.gov.ua/get-user-certificate/J5325KeRCIEF6vQbkudT","Завантажити сертифікат")</f>
        <v>Завантажити сертифікат</v>
      </c>
    </row>
    <row r="4042" spans="1:6" x14ac:dyDescent="0.3">
      <c r="A4042" s="2">
        <v>4041</v>
      </c>
      <c r="B4042" s="1" t="s">
        <v>8582</v>
      </c>
      <c r="C4042" s="1" t="s">
        <v>8535</v>
      </c>
      <c r="D4042" s="1" t="s">
        <v>8536</v>
      </c>
      <c r="E4042" s="1" t="s">
        <v>8583</v>
      </c>
      <c r="F4042" s="1" t="str">
        <f>HYPERLINK("https://talan.bank.gov.ua/get-user-certificate/J5325sCT3iG7lv-xmCpd","Завантажити сертифікат")</f>
        <v>Завантажити сертифікат</v>
      </c>
    </row>
    <row r="4043" spans="1:6" x14ac:dyDescent="0.3">
      <c r="A4043" s="2">
        <v>4042</v>
      </c>
      <c r="B4043" s="1" t="s">
        <v>8584</v>
      </c>
      <c r="C4043" s="1" t="s">
        <v>8535</v>
      </c>
      <c r="D4043" s="1" t="s">
        <v>8536</v>
      </c>
      <c r="E4043" s="1" t="s">
        <v>8585</v>
      </c>
      <c r="F4043" s="1" t="str">
        <f>HYPERLINK("https://talan.bank.gov.ua/get-user-certificate/J5325CTlO8HPMy0snNuG","Завантажити сертифікат")</f>
        <v>Завантажити сертифікат</v>
      </c>
    </row>
    <row r="4044" spans="1:6" x14ac:dyDescent="0.3">
      <c r="A4044" s="2">
        <v>4043</v>
      </c>
      <c r="B4044" s="1" t="s">
        <v>8586</v>
      </c>
      <c r="C4044" s="1" t="s">
        <v>8535</v>
      </c>
      <c r="D4044" s="1" t="s">
        <v>8536</v>
      </c>
      <c r="E4044" s="1" t="s">
        <v>8587</v>
      </c>
      <c r="F4044" s="1" t="str">
        <f>HYPERLINK("https://talan.bank.gov.ua/get-user-certificate/J5325jG3DhwkY--Bo15V","Завантажити сертифікат")</f>
        <v>Завантажити сертифікат</v>
      </c>
    </row>
    <row r="4045" spans="1:6" x14ac:dyDescent="0.3">
      <c r="A4045" s="2">
        <v>4044</v>
      </c>
      <c r="B4045" s="1" t="s">
        <v>8588</v>
      </c>
      <c r="C4045" s="1" t="s">
        <v>8589</v>
      </c>
      <c r="D4045" s="1" t="s">
        <v>8590</v>
      </c>
      <c r="E4045" s="1" t="s">
        <v>8591</v>
      </c>
      <c r="F4045" s="1" t="str">
        <f>HYPERLINK("https://talan.bank.gov.ua/get-user-certificate/J5325zYlUt1v70tughx_","Завантажити сертифікат")</f>
        <v>Завантажити сертифікат</v>
      </c>
    </row>
    <row r="4046" spans="1:6" x14ac:dyDescent="0.3">
      <c r="A4046" s="2">
        <v>4045</v>
      </c>
      <c r="B4046" s="1" t="s">
        <v>8592</v>
      </c>
      <c r="C4046" s="1" t="s">
        <v>8589</v>
      </c>
      <c r="D4046" s="1" t="s">
        <v>8590</v>
      </c>
      <c r="E4046" s="1" t="s">
        <v>8593</v>
      </c>
      <c r="F4046" s="1" t="str">
        <f>HYPERLINK("https://talan.bank.gov.ua/get-user-certificate/J5325UtRegvzDPxk0ti3","Завантажити сертифікат")</f>
        <v>Завантажити сертифікат</v>
      </c>
    </row>
    <row r="4047" spans="1:6" x14ac:dyDescent="0.3">
      <c r="A4047" s="2">
        <v>4046</v>
      </c>
      <c r="B4047" s="1" t="s">
        <v>8594</v>
      </c>
      <c r="C4047" s="1" t="s">
        <v>8589</v>
      </c>
      <c r="D4047" s="1" t="s">
        <v>8590</v>
      </c>
      <c r="E4047" s="1" t="s">
        <v>8595</v>
      </c>
      <c r="F4047" s="1" t="str">
        <f>HYPERLINK("https://talan.bank.gov.ua/get-user-certificate/J5325pW32tPHtHDDOTMY","Завантажити сертифікат")</f>
        <v>Завантажити сертифікат</v>
      </c>
    </row>
    <row r="4048" spans="1:6" ht="28.8" x14ac:dyDescent="0.3">
      <c r="A4048" s="2">
        <v>4047</v>
      </c>
      <c r="B4048" s="1" t="s">
        <v>8596</v>
      </c>
      <c r="C4048" s="1" t="s">
        <v>8589</v>
      </c>
      <c r="D4048" s="1" t="s">
        <v>8590</v>
      </c>
      <c r="E4048" s="1" t="s">
        <v>8597</v>
      </c>
      <c r="F4048" s="1" t="str">
        <f>HYPERLINK("https://talan.bank.gov.ua/get-user-certificate/J5325spHqYB2HtqJNzRW","Завантажити сертифікат")</f>
        <v>Завантажити сертифікат</v>
      </c>
    </row>
    <row r="4049" spans="1:6" x14ac:dyDescent="0.3">
      <c r="A4049" s="2">
        <v>4048</v>
      </c>
      <c r="B4049" s="1" t="s">
        <v>8598</v>
      </c>
      <c r="C4049" s="1" t="s">
        <v>8589</v>
      </c>
      <c r="D4049" s="1" t="s">
        <v>8590</v>
      </c>
      <c r="E4049" s="1" t="s">
        <v>8599</v>
      </c>
      <c r="F4049" s="1" t="str">
        <f>HYPERLINK("https://talan.bank.gov.ua/get-user-certificate/J5325s4IddSLytweyOF3","Завантажити сертифікат")</f>
        <v>Завантажити сертифікат</v>
      </c>
    </row>
    <row r="4050" spans="1:6" x14ac:dyDescent="0.3">
      <c r="A4050" s="2">
        <v>4049</v>
      </c>
      <c r="B4050" s="1" t="s">
        <v>8600</v>
      </c>
      <c r="C4050" s="1" t="s">
        <v>8589</v>
      </c>
      <c r="D4050" s="1" t="s">
        <v>8590</v>
      </c>
      <c r="E4050" s="1" t="s">
        <v>8601</v>
      </c>
      <c r="F4050" s="1" t="str">
        <f>HYPERLINK("https://talan.bank.gov.ua/get-user-certificate/J5325OxgSqatc3ZiXZo9","Завантажити сертифікат")</f>
        <v>Завантажити сертифікат</v>
      </c>
    </row>
    <row r="4051" spans="1:6" x14ac:dyDescent="0.3">
      <c r="A4051" s="2">
        <v>4050</v>
      </c>
      <c r="B4051" s="1" t="s">
        <v>8602</v>
      </c>
      <c r="C4051" s="1" t="s">
        <v>8589</v>
      </c>
      <c r="D4051" s="1" t="s">
        <v>8590</v>
      </c>
      <c r="E4051" s="1" t="s">
        <v>8603</v>
      </c>
      <c r="F4051" s="1" t="str">
        <f>HYPERLINK("https://talan.bank.gov.ua/get-user-certificate/J5325UjAj6MCh-h8CnM4","Завантажити сертифікат")</f>
        <v>Завантажити сертифікат</v>
      </c>
    </row>
    <row r="4052" spans="1:6" x14ac:dyDescent="0.3">
      <c r="A4052" s="2">
        <v>4051</v>
      </c>
      <c r="B4052" s="1" t="s">
        <v>8604</v>
      </c>
      <c r="C4052" s="1" t="s">
        <v>8589</v>
      </c>
      <c r="D4052" s="1" t="s">
        <v>8590</v>
      </c>
      <c r="E4052" s="1" t="s">
        <v>8605</v>
      </c>
      <c r="F4052" s="1" t="str">
        <f>HYPERLINK("https://talan.bank.gov.ua/get-user-certificate/J5325shasyhqdy5o_yA7","Завантажити сертифікат")</f>
        <v>Завантажити сертифікат</v>
      </c>
    </row>
    <row r="4053" spans="1:6" x14ac:dyDescent="0.3">
      <c r="A4053" s="2">
        <v>4052</v>
      </c>
      <c r="B4053" s="1" t="s">
        <v>8606</v>
      </c>
      <c r="C4053" s="1" t="s">
        <v>8589</v>
      </c>
      <c r="D4053" s="1" t="s">
        <v>8590</v>
      </c>
      <c r="E4053" s="1" t="s">
        <v>8607</v>
      </c>
      <c r="F4053" s="1" t="str">
        <f>HYPERLINK("https://talan.bank.gov.ua/get-user-certificate/J5325xpvCpKvhvx6D6gu","Завантажити сертифікат")</f>
        <v>Завантажити сертифікат</v>
      </c>
    </row>
    <row r="4054" spans="1:6" x14ac:dyDescent="0.3">
      <c r="A4054" s="2">
        <v>4053</v>
      </c>
      <c r="B4054" s="1" t="s">
        <v>8608</v>
      </c>
      <c r="C4054" s="1" t="s">
        <v>8589</v>
      </c>
      <c r="D4054" s="1" t="s">
        <v>8590</v>
      </c>
      <c r="E4054" s="1" t="s">
        <v>8609</v>
      </c>
      <c r="F4054" s="1" t="str">
        <f>HYPERLINK("https://talan.bank.gov.ua/get-user-certificate/J53257YpoBX5XVAnFtDo","Завантажити сертифікат")</f>
        <v>Завантажити сертифікат</v>
      </c>
    </row>
    <row r="4055" spans="1:6" x14ac:dyDescent="0.3">
      <c r="A4055" s="2">
        <v>4054</v>
      </c>
      <c r="B4055" s="1" t="s">
        <v>8610</v>
      </c>
      <c r="C4055" s="1" t="s">
        <v>8589</v>
      </c>
      <c r="D4055" s="1" t="s">
        <v>8590</v>
      </c>
      <c r="E4055" s="1" t="s">
        <v>8611</v>
      </c>
      <c r="F4055" s="1" t="str">
        <f>HYPERLINK("https://talan.bank.gov.ua/get-user-certificate/J5325Erg1-lFqSxKFv4d","Завантажити сертифікат")</f>
        <v>Завантажити сертифікат</v>
      </c>
    </row>
    <row r="4056" spans="1:6" x14ac:dyDescent="0.3">
      <c r="A4056" s="2">
        <v>4055</v>
      </c>
      <c r="B4056" s="1" t="s">
        <v>8612</v>
      </c>
      <c r="C4056" s="1" t="s">
        <v>8589</v>
      </c>
      <c r="D4056" s="1" t="s">
        <v>8590</v>
      </c>
      <c r="E4056" s="1" t="s">
        <v>8613</v>
      </c>
      <c r="F4056" s="1" t="str">
        <f>HYPERLINK("https://talan.bank.gov.ua/get-user-certificate/J5325fOZN_hT4r6mYhvn","Завантажити сертифікат")</f>
        <v>Завантажити сертифікат</v>
      </c>
    </row>
    <row r="4057" spans="1:6" ht="28.8" x14ac:dyDescent="0.3">
      <c r="A4057" s="2">
        <v>4056</v>
      </c>
      <c r="B4057" s="1" t="s">
        <v>8614</v>
      </c>
      <c r="C4057" s="1" t="s">
        <v>8615</v>
      </c>
      <c r="D4057" s="1" t="s">
        <v>8616</v>
      </c>
      <c r="E4057" s="1" t="s">
        <v>8617</v>
      </c>
      <c r="F4057" s="1" t="str">
        <f>HYPERLINK("https://talan.bank.gov.ua/get-user-certificate/J5325tge9HnJjwFa-U1J","Завантажити сертифікат")</f>
        <v>Завантажити сертифікат</v>
      </c>
    </row>
    <row r="4058" spans="1:6" ht="28.8" x14ac:dyDescent="0.3">
      <c r="A4058" s="2">
        <v>4057</v>
      </c>
      <c r="B4058" s="1" t="s">
        <v>8618</v>
      </c>
      <c r="C4058" s="1" t="s">
        <v>8615</v>
      </c>
      <c r="D4058" s="1" t="s">
        <v>8616</v>
      </c>
      <c r="E4058" s="1" t="s">
        <v>8619</v>
      </c>
      <c r="F4058" s="1" t="str">
        <f>HYPERLINK("https://talan.bank.gov.ua/get-user-certificate/J5325xND4At-8kChUj-_","Завантажити сертифікат")</f>
        <v>Завантажити сертифікат</v>
      </c>
    </row>
    <row r="4059" spans="1:6" ht="28.8" x14ac:dyDescent="0.3">
      <c r="A4059" s="2">
        <v>4058</v>
      </c>
      <c r="B4059" s="1" t="s">
        <v>8620</v>
      </c>
      <c r="C4059" s="1" t="s">
        <v>8615</v>
      </c>
      <c r="D4059" s="1" t="s">
        <v>8616</v>
      </c>
      <c r="E4059" s="1" t="s">
        <v>8621</v>
      </c>
      <c r="F4059" s="1" t="str">
        <f>HYPERLINK("https://talan.bank.gov.ua/get-user-certificate/J53254oZD3NbOTl42kBQ","Завантажити сертифікат")</f>
        <v>Завантажити сертифікат</v>
      </c>
    </row>
    <row r="4060" spans="1:6" ht="28.8" x14ac:dyDescent="0.3">
      <c r="A4060" s="2">
        <v>4059</v>
      </c>
      <c r="B4060" s="1" t="s">
        <v>8622</v>
      </c>
      <c r="C4060" s="1" t="s">
        <v>8615</v>
      </c>
      <c r="D4060" s="1" t="s">
        <v>8616</v>
      </c>
      <c r="E4060" s="1" t="s">
        <v>8623</v>
      </c>
      <c r="F4060" s="1" t="str">
        <f>HYPERLINK("https://talan.bank.gov.ua/get-user-certificate/J5325FYQ_sSdzlnaz_SS","Завантажити сертифікат")</f>
        <v>Завантажити сертифікат</v>
      </c>
    </row>
    <row r="4061" spans="1:6" ht="28.8" x14ac:dyDescent="0.3">
      <c r="A4061" s="2">
        <v>4060</v>
      </c>
      <c r="B4061" s="1" t="s">
        <v>8624</v>
      </c>
      <c r="C4061" s="1" t="s">
        <v>8615</v>
      </c>
      <c r="D4061" s="1" t="s">
        <v>8616</v>
      </c>
      <c r="E4061" s="1" t="s">
        <v>8625</v>
      </c>
      <c r="F4061" s="1" t="str">
        <f>HYPERLINK("https://talan.bank.gov.ua/get-user-certificate/J5325prJz-E1HfiyxKPt","Завантажити сертифікат")</f>
        <v>Завантажити сертифікат</v>
      </c>
    </row>
    <row r="4062" spans="1:6" ht="28.8" x14ac:dyDescent="0.3">
      <c r="A4062" s="2">
        <v>4061</v>
      </c>
      <c r="B4062" s="1" t="s">
        <v>8626</v>
      </c>
      <c r="C4062" s="1" t="s">
        <v>8615</v>
      </c>
      <c r="D4062" s="1" t="s">
        <v>8616</v>
      </c>
      <c r="E4062" s="1" t="s">
        <v>8627</v>
      </c>
      <c r="F4062" s="1" t="str">
        <f>HYPERLINK("https://talan.bank.gov.ua/get-user-certificate/J5325FoK3ObbealiYSIH","Завантажити сертифікат")</f>
        <v>Завантажити сертифікат</v>
      </c>
    </row>
    <row r="4063" spans="1:6" ht="28.8" x14ac:dyDescent="0.3">
      <c r="A4063" s="2">
        <v>4062</v>
      </c>
      <c r="B4063" s="1" t="s">
        <v>8628</v>
      </c>
      <c r="C4063" s="1" t="s">
        <v>8615</v>
      </c>
      <c r="D4063" s="1" t="s">
        <v>8616</v>
      </c>
      <c r="E4063" s="1" t="s">
        <v>8629</v>
      </c>
      <c r="F4063" s="1" t="str">
        <f>HYPERLINK("https://talan.bank.gov.ua/get-user-certificate/J5325RG4OI-O-5FKXq7S","Завантажити сертифікат")</f>
        <v>Завантажити сертифікат</v>
      </c>
    </row>
    <row r="4064" spans="1:6" ht="28.8" x14ac:dyDescent="0.3">
      <c r="A4064" s="2">
        <v>4063</v>
      </c>
      <c r="B4064" s="1" t="s">
        <v>8630</v>
      </c>
      <c r="C4064" s="1" t="s">
        <v>8615</v>
      </c>
      <c r="D4064" s="1" t="s">
        <v>8616</v>
      </c>
      <c r="E4064" s="1" t="s">
        <v>8631</v>
      </c>
      <c r="F4064" s="1" t="str">
        <f>HYPERLINK("https://talan.bank.gov.ua/get-user-certificate/J5325YBp8LC8WeLNZf5_","Завантажити сертифікат")</f>
        <v>Завантажити сертифікат</v>
      </c>
    </row>
    <row r="4065" spans="1:6" ht="28.8" x14ac:dyDescent="0.3">
      <c r="A4065" s="2">
        <v>4064</v>
      </c>
      <c r="B4065" s="1" t="s">
        <v>8632</v>
      </c>
      <c r="C4065" s="1" t="s">
        <v>8615</v>
      </c>
      <c r="D4065" s="1" t="s">
        <v>8616</v>
      </c>
      <c r="E4065" s="1" t="s">
        <v>8633</v>
      </c>
      <c r="F4065" s="1" t="str">
        <f>HYPERLINK("https://talan.bank.gov.ua/get-user-certificate/J5325cIzSRRPKIm6uNrI","Завантажити сертифікат")</f>
        <v>Завантажити сертифікат</v>
      </c>
    </row>
    <row r="4066" spans="1:6" ht="28.8" x14ac:dyDescent="0.3">
      <c r="A4066" s="2">
        <v>4065</v>
      </c>
      <c r="B4066" s="1" t="s">
        <v>8634</v>
      </c>
      <c r="C4066" s="1" t="s">
        <v>8615</v>
      </c>
      <c r="D4066" s="1" t="s">
        <v>8616</v>
      </c>
      <c r="E4066" s="1" t="s">
        <v>8635</v>
      </c>
      <c r="F4066" s="1" t="str">
        <f>HYPERLINK("https://talan.bank.gov.ua/get-user-certificate/J5325VaprBjXtgVtX2NW","Завантажити сертифікат")</f>
        <v>Завантажити сертифікат</v>
      </c>
    </row>
    <row r="4067" spans="1:6" ht="28.8" x14ac:dyDescent="0.3">
      <c r="A4067" s="2">
        <v>4066</v>
      </c>
      <c r="B4067" s="1" t="s">
        <v>8636</v>
      </c>
      <c r="C4067" s="1" t="s">
        <v>8615</v>
      </c>
      <c r="D4067" s="1" t="s">
        <v>8616</v>
      </c>
      <c r="E4067" s="1" t="s">
        <v>8637</v>
      </c>
      <c r="F4067" s="1" t="str">
        <f>HYPERLINK("https://talan.bank.gov.ua/get-user-certificate/J5325uFsTbtYxzrDfK8s","Завантажити сертифікат")</f>
        <v>Завантажити сертифікат</v>
      </c>
    </row>
    <row r="4068" spans="1:6" ht="28.8" x14ac:dyDescent="0.3">
      <c r="A4068" s="2">
        <v>4067</v>
      </c>
      <c r="B4068" s="1" t="s">
        <v>8638</v>
      </c>
      <c r="C4068" s="1" t="s">
        <v>8615</v>
      </c>
      <c r="D4068" s="1" t="s">
        <v>8616</v>
      </c>
      <c r="E4068" s="1" t="s">
        <v>8639</v>
      </c>
      <c r="F4068" s="1" t="str">
        <f>HYPERLINK("https://talan.bank.gov.ua/get-user-certificate/J5325RCLr5RriZ5zSJxs","Завантажити сертифікат")</f>
        <v>Завантажити сертифікат</v>
      </c>
    </row>
    <row r="4069" spans="1:6" ht="28.8" x14ac:dyDescent="0.3">
      <c r="A4069" s="2">
        <v>4068</v>
      </c>
      <c r="B4069" s="1" t="s">
        <v>8640</v>
      </c>
      <c r="C4069" s="1" t="s">
        <v>8615</v>
      </c>
      <c r="D4069" s="1" t="s">
        <v>8616</v>
      </c>
      <c r="E4069" s="1" t="s">
        <v>8641</v>
      </c>
      <c r="F4069" s="1" t="str">
        <f>HYPERLINK("https://talan.bank.gov.ua/get-user-certificate/J5325FmOFoy-bKFX3ubP","Завантажити сертифікат")</f>
        <v>Завантажити сертифікат</v>
      </c>
    </row>
    <row r="4070" spans="1:6" ht="28.8" x14ac:dyDescent="0.3">
      <c r="A4070" s="2">
        <v>4069</v>
      </c>
      <c r="B4070" s="1" t="s">
        <v>8642</v>
      </c>
      <c r="C4070" s="1" t="s">
        <v>8615</v>
      </c>
      <c r="D4070" s="1" t="s">
        <v>8616</v>
      </c>
      <c r="E4070" s="1" t="s">
        <v>8643</v>
      </c>
      <c r="F4070" s="1" t="str">
        <f>HYPERLINK("https://talan.bank.gov.ua/get-user-certificate/J53250O9VyR3t3KERT_R","Завантажити сертифікат")</f>
        <v>Завантажити сертифікат</v>
      </c>
    </row>
    <row r="4071" spans="1:6" ht="28.8" x14ac:dyDescent="0.3">
      <c r="A4071" s="2">
        <v>4070</v>
      </c>
      <c r="B4071" s="1" t="s">
        <v>8644</v>
      </c>
      <c r="C4071" s="1" t="s">
        <v>8645</v>
      </c>
      <c r="D4071" s="1" t="s">
        <v>8646</v>
      </c>
      <c r="E4071" s="1" t="s">
        <v>8647</v>
      </c>
      <c r="F4071" s="1" t="str">
        <f>HYPERLINK("https://talan.bank.gov.ua/get-user-certificate/J5325f6F4ns23_a3SA99","Завантажити сертифікат")</f>
        <v>Завантажити сертифікат</v>
      </c>
    </row>
    <row r="4072" spans="1:6" ht="28.8" x14ac:dyDescent="0.3">
      <c r="A4072" s="2">
        <v>4071</v>
      </c>
      <c r="B4072" s="1" t="s">
        <v>8648</v>
      </c>
      <c r="C4072" s="1" t="s">
        <v>8645</v>
      </c>
      <c r="D4072" s="1" t="s">
        <v>8646</v>
      </c>
      <c r="E4072" s="1" t="s">
        <v>8649</v>
      </c>
      <c r="F4072" s="1" t="str">
        <f>HYPERLINK("https://talan.bank.gov.ua/get-user-certificate/J5325IV7E4XfI8-EqLd6","Завантажити сертифікат")</f>
        <v>Завантажити сертифікат</v>
      </c>
    </row>
    <row r="4073" spans="1:6" ht="28.8" x14ac:dyDescent="0.3">
      <c r="A4073" s="2">
        <v>4072</v>
      </c>
      <c r="B4073" s="1" t="s">
        <v>8650</v>
      </c>
      <c r="C4073" s="1" t="s">
        <v>8645</v>
      </c>
      <c r="D4073" s="1" t="s">
        <v>8646</v>
      </c>
      <c r="E4073" s="1" t="s">
        <v>8651</v>
      </c>
      <c r="F4073" s="1" t="str">
        <f>HYPERLINK("https://talan.bank.gov.ua/get-user-certificate/J5325k1XrWJoMxnfeGSi","Завантажити сертифікат")</f>
        <v>Завантажити сертифікат</v>
      </c>
    </row>
    <row r="4074" spans="1:6" ht="28.8" x14ac:dyDescent="0.3">
      <c r="A4074" s="2">
        <v>4073</v>
      </c>
      <c r="B4074" s="1" t="s">
        <v>8652</v>
      </c>
      <c r="C4074" s="1" t="s">
        <v>8645</v>
      </c>
      <c r="D4074" s="1" t="s">
        <v>8646</v>
      </c>
      <c r="E4074" s="1" t="s">
        <v>8653</v>
      </c>
      <c r="F4074" s="1" t="str">
        <f>HYPERLINK("https://talan.bank.gov.ua/get-user-certificate/J53250DluPuW5mzn4ztE","Завантажити сертифікат")</f>
        <v>Завантажити сертифікат</v>
      </c>
    </row>
    <row r="4075" spans="1:6" ht="28.8" x14ac:dyDescent="0.3">
      <c r="A4075" s="2">
        <v>4074</v>
      </c>
      <c r="B4075" s="1" t="s">
        <v>8654</v>
      </c>
      <c r="C4075" s="1" t="s">
        <v>8645</v>
      </c>
      <c r="D4075" s="1" t="s">
        <v>8646</v>
      </c>
      <c r="E4075" s="1" t="s">
        <v>8655</v>
      </c>
      <c r="F4075" s="1" t="str">
        <f>HYPERLINK("https://talan.bank.gov.ua/get-user-certificate/J5325hFbzbwUAX20GA6z","Завантажити сертифікат")</f>
        <v>Завантажити сертифікат</v>
      </c>
    </row>
    <row r="4076" spans="1:6" ht="28.8" x14ac:dyDescent="0.3">
      <c r="A4076" s="2">
        <v>4075</v>
      </c>
      <c r="B4076" s="1" t="s">
        <v>8656</v>
      </c>
      <c r="C4076" s="1" t="s">
        <v>8657</v>
      </c>
      <c r="D4076" s="1" t="s">
        <v>8658</v>
      </c>
      <c r="E4076" s="1" t="s">
        <v>8659</v>
      </c>
      <c r="F4076" s="1" t="str">
        <f>HYPERLINK("https://talan.bank.gov.ua/get-user-certificate/J5325S1cQFFqHq89knFC","Завантажити сертифікат")</f>
        <v>Завантажити сертифікат</v>
      </c>
    </row>
    <row r="4077" spans="1:6" ht="28.8" x14ac:dyDescent="0.3">
      <c r="A4077" s="2">
        <v>4076</v>
      </c>
      <c r="B4077" s="1" t="s">
        <v>8660</v>
      </c>
      <c r="C4077" s="1" t="s">
        <v>8657</v>
      </c>
      <c r="D4077" s="1" t="s">
        <v>8658</v>
      </c>
      <c r="E4077" s="1" t="s">
        <v>8661</v>
      </c>
      <c r="F4077" s="1" t="str">
        <f>HYPERLINK("https://talan.bank.gov.ua/get-user-certificate/J53252v--Kp38y93gJlq","Завантажити сертифікат")</f>
        <v>Завантажити сертифікат</v>
      </c>
    </row>
    <row r="4078" spans="1:6" ht="28.8" x14ac:dyDescent="0.3">
      <c r="A4078" s="2">
        <v>4077</v>
      </c>
      <c r="B4078" s="1" t="s">
        <v>8662</v>
      </c>
      <c r="C4078" s="1" t="s">
        <v>8657</v>
      </c>
      <c r="D4078" s="1" t="s">
        <v>8658</v>
      </c>
      <c r="E4078" s="1" t="s">
        <v>8663</v>
      </c>
      <c r="F4078" s="1" t="str">
        <f>HYPERLINK("https://talan.bank.gov.ua/get-user-certificate/J5325J1NZUC_klhm_mxm","Завантажити сертифікат")</f>
        <v>Завантажити сертифікат</v>
      </c>
    </row>
    <row r="4079" spans="1:6" ht="28.8" x14ac:dyDescent="0.3">
      <c r="A4079" s="2">
        <v>4078</v>
      </c>
      <c r="B4079" s="1" t="s">
        <v>8664</v>
      </c>
      <c r="C4079" s="1" t="s">
        <v>8657</v>
      </c>
      <c r="D4079" s="1" t="s">
        <v>8658</v>
      </c>
      <c r="E4079" s="1" t="s">
        <v>8665</v>
      </c>
      <c r="F4079" s="1" t="str">
        <f>HYPERLINK("https://talan.bank.gov.ua/get-user-certificate/J5325IXS7y8fEgak0sQv","Завантажити сертифікат")</f>
        <v>Завантажити сертифікат</v>
      </c>
    </row>
    <row r="4080" spans="1:6" ht="28.8" x14ac:dyDescent="0.3">
      <c r="A4080" s="2">
        <v>4079</v>
      </c>
      <c r="B4080" s="1" t="s">
        <v>8666</v>
      </c>
      <c r="C4080" s="1" t="s">
        <v>8657</v>
      </c>
      <c r="D4080" s="1" t="s">
        <v>8658</v>
      </c>
      <c r="E4080" s="1" t="s">
        <v>8667</v>
      </c>
      <c r="F4080" s="1" t="str">
        <f>HYPERLINK("https://talan.bank.gov.ua/get-user-certificate/J5325LyyZeND-hAXRujU","Завантажити сертифікат")</f>
        <v>Завантажити сертифікат</v>
      </c>
    </row>
    <row r="4081" spans="1:6" ht="28.8" x14ac:dyDescent="0.3">
      <c r="A4081" s="2">
        <v>4080</v>
      </c>
      <c r="B4081" s="1" t="s">
        <v>8668</v>
      </c>
      <c r="C4081" s="1" t="s">
        <v>8657</v>
      </c>
      <c r="D4081" s="1" t="s">
        <v>8658</v>
      </c>
      <c r="E4081" s="1" t="s">
        <v>8669</v>
      </c>
      <c r="F4081" s="1" t="str">
        <f>HYPERLINK("https://talan.bank.gov.ua/get-user-certificate/J5325SuNzM0uWU2EBd-6","Завантажити сертифікат")</f>
        <v>Завантажити сертифікат</v>
      </c>
    </row>
    <row r="4082" spans="1:6" ht="43.2" x14ac:dyDescent="0.3">
      <c r="A4082" s="2">
        <v>4081</v>
      </c>
      <c r="B4082" s="1" t="s">
        <v>8670</v>
      </c>
      <c r="C4082" s="1" t="s">
        <v>8671</v>
      </c>
      <c r="D4082" s="1" t="s">
        <v>8672</v>
      </c>
      <c r="E4082" s="1" t="s">
        <v>8673</v>
      </c>
      <c r="F4082" s="1" t="str">
        <f>HYPERLINK("https://talan.bank.gov.ua/get-user-certificate/J5325POQWWgdkHymtc65","Завантажити сертифікат")</f>
        <v>Завантажити сертифікат</v>
      </c>
    </row>
    <row r="4083" spans="1:6" ht="43.2" x14ac:dyDescent="0.3">
      <c r="A4083" s="2">
        <v>4082</v>
      </c>
      <c r="B4083" s="1" t="s">
        <v>8674</v>
      </c>
      <c r="C4083" s="1" t="s">
        <v>8671</v>
      </c>
      <c r="D4083" s="1" t="s">
        <v>8672</v>
      </c>
      <c r="E4083" s="1" t="s">
        <v>8675</v>
      </c>
      <c r="F4083" s="1" t="str">
        <f>HYPERLINK("https://talan.bank.gov.ua/get-user-certificate/J5325FD0ldnHYUWLclJD","Завантажити сертифікат")</f>
        <v>Завантажити сертифікат</v>
      </c>
    </row>
    <row r="4084" spans="1:6" ht="43.2" x14ac:dyDescent="0.3">
      <c r="A4084" s="2">
        <v>4083</v>
      </c>
      <c r="B4084" s="1" t="s">
        <v>8676</v>
      </c>
      <c r="C4084" s="1" t="s">
        <v>8671</v>
      </c>
      <c r="D4084" s="1" t="s">
        <v>8672</v>
      </c>
      <c r="E4084" s="1" t="s">
        <v>8677</v>
      </c>
      <c r="F4084" s="1" t="str">
        <f>HYPERLINK("https://talan.bank.gov.ua/get-user-certificate/J5325VAAnK-tmt24OQSw","Завантажити сертифікат")</f>
        <v>Завантажити сертифікат</v>
      </c>
    </row>
    <row r="4085" spans="1:6" ht="43.2" x14ac:dyDescent="0.3">
      <c r="A4085" s="2">
        <v>4084</v>
      </c>
      <c r="B4085" s="1" t="s">
        <v>8678</v>
      </c>
      <c r="C4085" s="1" t="s">
        <v>8671</v>
      </c>
      <c r="D4085" s="1" t="s">
        <v>8672</v>
      </c>
      <c r="E4085" s="1" t="s">
        <v>8679</v>
      </c>
      <c r="F4085" s="1" t="str">
        <f>HYPERLINK("https://talan.bank.gov.ua/get-user-certificate/J5325--paf_zLIlYuKY6","Завантажити сертифікат")</f>
        <v>Завантажити сертифікат</v>
      </c>
    </row>
    <row r="4086" spans="1:6" ht="43.2" x14ac:dyDescent="0.3">
      <c r="A4086" s="2">
        <v>4085</v>
      </c>
      <c r="B4086" s="1" t="s">
        <v>8680</v>
      </c>
      <c r="C4086" s="1" t="s">
        <v>8671</v>
      </c>
      <c r="D4086" s="1" t="s">
        <v>8672</v>
      </c>
      <c r="E4086" s="1" t="s">
        <v>8681</v>
      </c>
      <c r="F4086" s="1" t="str">
        <f>HYPERLINK("https://talan.bank.gov.ua/get-user-certificate/J5325_N5sHH1hVvEOsuV","Завантажити сертифікат")</f>
        <v>Завантажити сертифікат</v>
      </c>
    </row>
    <row r="4087" spans="1:6" ht="43.2" x14ac:dyDescent="0.3">
      <c r="A4087" s="2">
        <v>4086</v>
      </c>
      <c r="B4087" s="1" t="s">
        <v>8682</v>
      </c>
      <c r="C4087" s="1" t="s">
        <v>8671</v>
      </c>
      <c r="D4087" s="1" t="s">
        <v>8672</v>
      </c>
      <c r="E4087" s="1" t="s">
        <v>8683</v>
      </c>
      <c r="F4087" s="1" t="str">
        <f>HYPERLINK("https://talan.bank.gov.ua/get-user-certificate/J5325zv91L8gUnkp0qm8","Завантажити сертифікат")</f>
        <v>Завантажити сертифікат</v>
      </c>
    </row>
    <row r="4088" spans="1:6" ht="43.2" x14ac:dyDescent="0.3">
      <c r="A4088" s="2">
        <v>4087</v>
      </c>
      <c r="B4088" s="1" t="s">
        <v>8684</v>
      </c>
      <c r="C4088" s="1" t="s">
        <v>8671</v>
      </c>
      <c r="D4088" s="1" t="s">
        <v>8672</v>
      </c>
      <c r="E4088" s="1" t="s">
        <v>8685</v>
      </c>
      <c r="F4088" s="1" t="str">
        <f>HYPERLINK("https://talan.bank.gov.ua/get-user-certificate/J5325Bc5NiMWfRQd8unb","Завантажити сертифікат")</f>
        <v>Завантажити сертифікат</v>
      </c>
    </row>
    <row r="4089" spans="1:6" ht="43.2" x14ac:dyDescent="0.3">
      <c r="A4089" s="2">
        <v>4088</v>
      </c>
      <c r="B4089" s="1" t="s">
        <v>8686</v>
      </c>
      <c r="C4089" s="1" t="s">
        <v>8671</v>
      </c>
      <c r="D4089" s="1" t="s">
        <v>8672</v>
      </c>
      <c r="E4089" s="1" t="s">
        <v>8687</v>
      </c>
      <c r="F4089" s="1" t="str">
        <f>HYPERLINK("https://talan.bank.gov.ua/get-user-certificate/J5325qlblDjOtCiHXwmQ","Завантажити сертифікат")</f>
        <v>Завантажити сертифікат</v>
      </c>
    </row>
    <row r="4090" spans="1:6" ht="43.2" x14ac:dyDescent="0.3">
      <c r="A4090" s="2">
        <v>4089</v>
      </c>
      <c r="B4090" s="1" t="s">
        <v>8688</v>
      </c>
      <c r="C4090" s="1" t="s">
        <v>8671</v>
      </c>
      <c r="D4090" s="1" t="s">
        <v>8672</v>
      </c>
      <c r="E4090" s="1" t="s">
        <v>8689</v>
      </c>
      <c r="F4090" s="1" t="str">
        <f>HYPERLINK("https://talan.bank.gov.ua/get-user-certificate/J5325qzyQpGbQNQFLFp3","Завантажити сертифікат")</f>
        <v>Завантажити сертифікат</v>
      </c>
    </row>
    <row r="4091" spans="1:6" ht="28.8" x14ac:dyDescent="0.3">
      <c r="A4091" s="2">
        <v>4090</v>
      </c>
      <c r="B4091" s="1" t="s">
        <v>8690</v>
      </c>
      <c r="C4091" s="1" t="s">
        <v>8691</v>
      </c>
      <c r="D4091" s="1" t="s">
        <v>8692</v>
      </c>
      <c r="E4091" s="1" t="s">
        <v>8693</v>
      </c>
      <c r="F4091" s="1" t="str">
        <f>HYPERLINK("https://talan.bank.gov.ua/get-user-certificate/J5325nQmVEEEkytNQfGs","Завантажити сертифікат")</f>
        <v>Завантажити сертифікат</v>
      </c>
    </row>
    <row r="4092" spans="1:6" ht="28.8" x14ac:dyDescent="0.3">
      <c r="A4092" s="2">
        <v>4091</v>
      </c>
      <c r="B4092" s="1" t="s">
        <v>8694</v>
      </c>
      <c r="C4092" s="1" t="s">
        <v>8691</v>
      </c>
      <c r="D4092" s="1" t="s">
        <v>8692</v>
      </c>
      <c r="E4092" s="1" t="s">
        <v>8695</v>
      </c>
      <c r="F4092" s="1" t="str">
        <f>HYPERLINK("https://talan.bank.gov.ua/get-user-certificate/J5325-hRCnkexmFZ6MVp","Завантажити сертифікат")</f>
        <v>Завантажити сертифікат</v>
      </c>
    </row>
    <row r="4093" spans="1:6" ht="28.8" x14ac:dyDescent="0.3">
      <c r="A4093" s="2">
        <v>4092</v>
      </c>
      <c r="B4093" s="1" t="s">
        <v>8696</v>
      </c>
      <c r="C4093" s="1" t="s">
        <v>8691</v>
      </c>
      <c r="D4093" s="1" t="s">
        <v>8692</v>
      </c>
      <c r="E4093" s="1" t="s">
        <v>8697</v>
      </c>
      <c r="F4093" s="1" t="str">
        <f>HYPERLINK("https://talan.bank.gov.ua/get-user-certificate/J5325wvlIfGU8VdAPdwX","Завантажити сертифікат")</f>
        <v>Завантажити сертифікат</v>
      </c>
    </row>
    <row r="4094" spans="1:6" x14ac:dyDescent="0.3">
      <c r="A4094" s="2">
        <v>4093</v>
      </c>
      <c r="B4094" s="1" t="s">
        <v>8698</v>
      </c>
      <c r="C4094" s="1" t="s">
        <v>8699</v>
      </c>
      <c r="D4094" s="1" t="s">
        <v>8700</v>
      </c>
      <c r="E4094" s="1" t="s">
        <v>8701</v>
      </c>
      <c r="F4094" s="1" t="str">
        <f>HYPERLINK("https://talan.bank.gov.ua/get-user-certificate/J5325RN86NF5MBriNj5a","Завантажити сертифікат")</f>
        <v>Завантажити сертифікат</v>
      </c>
    </row>
    <row r="4095" spans="1:6" x14ac:dyDescent="0.3">
      <c r="A4095" s="2">
        <v>4094</v>
      </c>
      <c r="B4095" s="1" t="s">
        <v>8702</v>
      </c>
      <c r="C4095" s="1" t="s">
        <v>8699</v>
      </c>
      <c r="D4095" s="1" t="s">
        <v>8700</v>
      </c>
      <c r="E4095" s="1" t="s">
        <v>8703</v>
      </c>
      <c r="F4095" s="1" t="str">
        <f>HYPERLINK("https://talan.bank.gov.ua/get-user-certificate/J5325qdhsFDMicNfUlV8","Завантажити сертифікат")</f>
        <v>Завантажити сертифікат</v>
      </c>
    </row>
    <row r="4096" spans="1:6" x14ac:dyDescent="0.3">
      <c r="A4096" s="2">
        <v>4095</v>
      </c>
      <c r="B4096" s="1" t="s">
        <v>8704</v>
      </c>
      <c r="C4096" s="1" t="s">
        <v>8699</v>
      </c>
      <c r="D4096" s="1" t="s">
        <v>8700</v>
      </c>
      <c r="E4096" s="1" t="s">
        <v>8705</v>
      </c>
      <c r="F4096" s="1" t="str">
        <f>HYPERLINK("https://talan.bank.gov.ua/get-user-certificate/J5325CcVcB-NNjmkv2Ly","Завантажити сертифікат")</f>
        <v>Завантажити сертифікат</v>
      </c>
    </row>
    <row r="4097" spans="1:6" x14ac:dyDescent="0.3">
      <c r="A4097" s="2">
        <v>4096</v>
      </c>
      <c r="B4097" s="1" t="s">
        <v>8706</v>
      </c>
      <c r="C4097" s="1" t="s">
        <v>8699</v>
      </c>
      <c r="D4097" s="1" t="s">
        <v>8700</v>
      </c>
      <c r="E4097" s="1" t="s">
        <v>8707</v>
      </c>
      <c r="F4097" s="1" t="str">
        <f>HYPERLINK("https://talan.bank.gov.ua/get-user-certificate/J5325wybYJ_In0mnQ6w4","Завантажити сертифікат")</f>
        <v>Завантажити сертифікат</v>
      </c>
    </row>
    <row r="4098" spans="1:6" x14ac:dyDescent="0.3">
      <c r="A4098" s="2">
        <v>4097</v>
      </c>
      <c r="B4098" s="1" t="s">
        <v>8708</v>
      </c>
      <c r="C4098" s="1" t="s">
        <v>8699</v>
      </c>
      <c r="D4098" s="1" t="s">
        <v>8700</v>
      </c>
      <c r="E4098" s="1" t="s">
        <v>8709</v>
      </c>
      <c r="F4098" s="1" t="str">
        <f>HYPERLINK("https://talan.bank.gov.ua/get-user-certificate/J5325vmsN6bXiwe6UieH","Завантажити сертифікат")</f>
        <v>Завантажити сертифікат</v>
      </c>
    </row>
    <row r="4099" spans="1:6" x14ac:dyDescent="0.3">
      <c r="A4099" s="2">
        <v>4098</v>
      </c>
      <c r="B4099" s="1" t="s">
        <v>8710</v>
      </c>
      <c r="C4099" s="1" t="s">
        <v>8699</v>
      </c>
      <c r="D4099" s="1" t="s">
        <v>8700</v>
      </c>
      <c r="E4099" s="1" t="s">
        <v>8711</v>
      </c>
      <c r="F4099" s="1" t="str">
        <f>HYPERLINK("https://talan.bank.gov.ua/get-user-certificate/J5325XDPwnAu9ItczfdR","Завантажити сертифікат")</f>
        <v>Завантажити сертифікат</v>
      </c>
    </row>
    <row r="4100" spans="1:6" x14ac:dyDescent="0.3">
      <c r="A4100" s="2">
        <v>4099</v>
      </c>
      <c r="B4100" s="1" t="s">
        <v>8712</v>
      </c>
      <c r="C4100" s="1" t="s">
        <v>8699</v>
      </c>
      <c r="D4100" s="1" t="s">
        <v>8700</v>
      </c>
      <c r="E4100" s="1" t="s">
        <v>8713</v>
      </c>
      <c r="F4100" s="1" t="str">
        <f>HYPERLINK("https://talan.bank.gov.ua/get-user-certificate/J5325iZoxiNlhA_Wde75","Завантажити сертифікат")</f>
        <v>Завантажити сертифікат</v>
      </c>
    </row>
    <row r="4101" spans="1:6" x14ac:dyDescent="0.3">
      <c r="A4101" s="2">
        <v>4100</v>
      </c>
      <c r="B4101" s="1" t="s">
        <v>8714</v>
      </c>
      <c r="C4101" s="1" t="s">
        <v>8699</v>
      </c>
      <c r="D4101" s="1" t="s">
        <v>8700</v>
      </c>
      <c r="E4101" s="1" t="s">
        <v>8715</v>
      </c>
      <c r="F4101" s="1" t="str">
        <f>HYPERLINK("https://talan.bank.gov.ua/get-user-certificate/J5325nl9eLSAJRQrnXlB","Завантажити сертифікат")</f>
        <v>Завантажити сертифікат</v>
      </c>
    </row>
    <row r="4102" spans="1:6" x14ac:dyDescent="0.3">
      <c r="A4102" s="2">
        <v>4101</v>
      </c>
      <c r="B4102" s="1" t="s">
        <v>8716</v>
      </c>
      <c r="C4102" s="1" t="s">
        <v>8717</v>
      </c>
      <c r="D4102" s="1" t="s">
        <v>8718</v>
      </c>
      <c r="E4102" s="1" t="s">
        <v>8719</v>
      </c>
      <c r="F4102" s="1" t="str">
        <f>HYPERLINK("https://talan.bank.gov.ua/get-user-certificate/J5325BRw6NaqqOh8EB56","Завантажити сертифікат")</f>
        <v>Завантажити сертифікат</v>
      </c>
    </row>
    <row r="4103" spans="1:6" x14ac:dyDescent="0.3">
      <c r="A4103" s="2">
        <v>4102</v>
      </c>
      <c r="B4103" s="1" t="s">
        <v>8720</v>
      </c>
      <c r="C4103" s="1" t="s">
        <v>8717</v>
      </c>
      <c r="D4103" s="1" t="s">
        <v>8718</v>
      </c>
      <c r="E4103" s="1" t="s">
        <v>8721</v>
      </c>
      <c r="F4103" s="1" t="str">
        <f>HYPERLINK("https://talan.bank.gov.ua/get-user-certificate/J5325GsxJPaFQ3qNf_db","Завантажити сертифікат")</f>
        <v>Завантажити сертифікат</v>
      </c>
    </row>
    <row r="4104" spans="1:6" x14ac:dyDescent="0.3">
      <c r="A4104" s="2">
        <v>4103</v>
      </c>
      <c r="B4104" s="1" t="s">
        <v>8722</v>
      </c>
      <c r="C4104" s="1" t="s">
        <v>8717</v>
      </c>
      <c r="D4104" s="1" t="s">
        <v>8718</v>
      </c>
      <c r="E4104" s="1" t="s">
        <v>8723</v>
      </c>
      <c r="F4104" s="1" t="str">
        <f>HYPERLINK("https://talan.bank.gov.ua/get-user-certificate/J5325zc5uSPUU_OXORVu","Завантажити сертифікат")</f>
        <v>Завантажити сертифікат</v>
      </c>
    </row>
    <row r="4105" spans="1:6" x14ac:dyDescent="0.3">
      <c r="A4105" s="2">
        <v>4104</v>
      </c>
      <c r="B4105" s="1" t="s">
        <v>8724</v>
      </c>
      <c r="C4105" s="1" t="s">
        <v>8717</v>
      </c>
      <c r="D4105" s="1" t="s">
        <v>8718</v>
      </c>
      <c r="E4105" s="1" t="s">
        <v>8725</v>
      </c>
      <c r="F4105" s="1" t="str">
        <f>HYPERLINK("https://talan.bank.gov.ua/get-user-certificate/J5325FC2hl6eYCc_fefH","Завантажити сертифікат")</f>
        <v>Завантажити сертифікат</v>
      </c>
    </row>
    <row r="4106" spans="1:6" x14ac:dyDescent="0.3">
      <c r="A4106" s="2">
        <v>4105</v>
      </c>
      <c r="B4106" s="1" t="s">
        <v>8726</v>
      </c>
      <c r="C4106" s="1" t="s">
        <v>8717</v>
      </c>
      <c r="D4106" s="1" t="s">
        <v>8718</v>
      </c>
      <c r="E4106" s="1" t="s">
        <v>8727</v>
      </c>
      <c r="F4106" s="1" t="str">
        <f>HYPERLINK("https://talan.bank.gov.ua/get-user-certificate/J5325YbqA3_4GYJn-rw-","Завантажити сертифікат")</f>
        <v>Завантажити сертифікат</v>
      </c>
    </row>
    <row r="4107" spans="1:6" x14ac:dyDescent="0.3">
      <c r="A4107" s="2">
        <v>4106</v>
      </c>
      <c r="B4107" s="1" t="s">
        <v>8728</v>
      </c>
      <c r="C4107" s="1" t="s">
        <v>8717</v>
      </c>
      <c r="D4107" s="1" t="s">
        <v>8718</v>
      </c>
      <c r="E4107" s="1" t="s">
        <v>8729</v>
      </c>
      <c r="F4107" s="1" t="str">
        <f>HYPERLINK("https://talan.bank.gov.ua/get-user-certificate/J5325WTfvwWNKwRGWzbt","Завантажити сертифікат")</f>
        <v>Завантажити сертифікат</v>
      </c>
    </row>
    <row r="4108" spans="1:6" x14ac:dyDescent="0.3">
      <c r="A4108" s="2">
        <v>4107</v>
      </c>
      <c r="B4108" s="1" t="s">
        <v>8730</v>
      </c>
      <c r="C4108" s="1" t="s">
        <v>8717</v>
      </c>
      <c r="D4108" s="1" t="s">
        <v>8718</v>
      </c>
      <c r="E4108" s="1" t="s">
        <v>8731</v>
      </c>
      <c r="F4108" s="1" t="str">
        <f>HYPERLINK("https://talan.bank.gov.ua/get-user-certificate/J5325fr43rtPhFqOD7mp","Завантажити сертифікат")</f>
        <v>Завантажити сертифікат</v>
      </c>
    </row>
    <row r="4109" spans="1:6" x14ac:dyDescent="0.3">
      <c r="A4109" s="2">
        <v>4108</v>
      </c>
      <c r="B4109" s="1" t="s">
        <v>8732</v>
      </c>
      <c r="C4109" s="1" t="s">
        <v>8717</v>
      </c>
      <c r="D4109" s="1" t="s">
        <v>8718</v>
      </c>
      <c r="E4109" s="1" t="s">
        <v>8733</v>
      </c>
      <c r="F4109" s="1" t="str">
        <f>HYPERLINK("https://talan.bank.gov.ua/get-user-certificate/J53254WttLZDnklm9Cka","Завантажити сертифікат")</f>
        <v>Завантажити сертифікат</v>
      </c>
    </row>
    <row r="4110" spans="1:6" x14ac:dyDescent="0.3">
      <c r="A4110" s="2">
        <v>4109</v>
      </c>
      <c r="B4110" s="1" t="s">
        <v>8734</v>
      </c>
      <c r="C4110" s="1" t="s">
        <v>8717</v>
      </c>
      <c r="D4110" s="1" t="s">
        <v>8718</v>
      </c>
      <c r="E4110" s="1" t="s">
        <v>8735</v>
      </c>
      <c r="F4110" s="1" t="str">
        <f>HYPERLINK("https://talan.bank.gov.ua/get-user-certificate/J5325xSRJOfyHg_WmSg0","Завантажити сертифікат")</f>
        <v>Завантажити сертифікат</v>
      </c>
    </row>
    <row r="4111" spans="1:6" x14ac:dyDescent="0.3">
      <c r="A4111" s="2">
        <v>4110</v>
      </c>
      <c r="B4111" s="1" t="s">
        <v>8736</v>
      </c>
      <c r="C4111" s="1" t="s">
        <v>8717</v>
      </c>
      <c r="D4111" s="1" t="s">
        <v>8718</v>
      </c>
      <c r="E4111" s="1" t="s">
        <v>8737</v>
      </c>
      <c r="F4111" s="1" t="str">
        <f>HYPERLINK("https://talan.bank.gov.ua/get-user-certificate/J5325SsZ64MxcC7f4O8A","Завантажити сертифікат")</f>
        <v>Завантажити сертифікат</v>
      </c>
    </row>
    <row r="4112" spans="1:6" x14ac:dyDescent="0.3">
      <c r="A4112" s="2">
        <v>4111</v>
      </c>
      <c r="B4112" s="1" t="s">
        <v>8738</v>
      </c>
      <c r="C4112" s="1" t="s">
        <v>8717</v>
      </c>
      <c r="D4112" s="1" t="s">
        <v>8718</v>
      </c>
      <c r="E4112" s="1" t="s">
        <v>8739</v>
      </c>
      <c r="F4112" s="1" t="str">
        <f>HYPERLINK("https://talan.bank.gov.ua/get-user-certificate/J5325cjg_1C-6bPgIdbo","Завантажити сертифікат")</f>
        <v>Завантажити сертифікат</v>
      </c>
    </row>
    <row r="4113" spans="1:6" x14ac:dyDescent="0.3">
      <c r="A4113" s="2">
        <v>4112</v>
      </c>
      <c r="B4113" s="1" t="s">
        <v>8740</v>
      </c>
      <c r="C4113" s="1" t="s">
        <v>8717</v>
      </c>
      <c r="D4113" s="1" t="s">
        <v>8718</v>
      </c>
      <c r="E4113" s="1" t="s">
        <v>8741</v>
      </c>
      <c r="F4113" s="1" t="str">
        <f>HYPERLINK("https://talan.bank.gov.ua/get-user-certificate/J5325ZyvH2J320aqq3VV","Завантажити сертифікат")</f>
        <v>Завантажити сертифікат</v>
      </c>
    </row>
    <row r="4114" spans="1:6" x14ac:dyDescent="0.3">
      <c r="A4114" s="2">
        <v>4113</v>
      </c>
      <c r="B4114" s="1" t="s">
        <v>8742</v>
      </c>
      <c r="C4114" s="1" t="s">
        <v>8717</v>
      </c>
      <c r="D4114" s="1" t="s">
        <v>8718</v>
      </c>
      <c r="E4114" s="1" t="s">
        <v>8743</v>
      </c>
      <c r="F4114" s="1" t="str">
        <f>HYPERLINK("https://talan.bank.gov.ua/get-user-certificate/J5325CiPk4dKJATl6Lbe","Завантажити сертифікат")</f>
        <v>Завантажити сертифікат</v>
      </c>
    </row>
    <row r="4115" spans="1:6" x14ac:dyDescent="0.3">
      <c r="A4115" s="2">
        <v>4114</v>
      </c>
      <c r="B4115" s="1" t="s">
        <v>8744</v>
      </c>
      <c r="C4115" s="1" t="s">
        <v>8717</v>
      </c>
      <c r="D4115" s="1" t="s">
        <v>8718</v>
      </c>
      <c r="E4115" s="1" t="s">
        <v>8745</v>
      </c>
      <c r="F4115" s="1" t="str">
        <f>HYPERLINK("https://talan.bank.gov.ua/get-user-certificate/J5325_fi4leAvGMZkghp","Завантажити сертифікат")</f>
        <v>Завантажити сертифікат</v>
      </c>
    </row>
    <row r="4116" spans="1:6" x14ac:dyDescent="0.3">
      <c r="A4116" s="2">
        <v>4115</v>
      </c>
      <c r="B4116" s="1" t="s">
        <v>8746</v>
      </c>
      <c r="C4116" s="1" t="s">
        <v>8717</v>
      </c>
      <c r="D4116" s="1" t="s">
        <v>8718</v>
      </c>
      <c r="E4116" s="1" t="s">
        <v>8747</v>
      </c>
      <c r="F4116" s="1" t="str">
        <f>HYPERLINK("https://talan.bank.gov.ua/get-user-certificate/J5325teWnuEAOQhvMk0D","Завантажити сертифікат")</f>
        <v>Завантажити сертифікат</v>
      </c>
    </row>
    <row r="4117" spans="1:6" x14ac:dyDescent="0.3">
      <c r="A4117" s="2">
        <v>4116</v>
      </c>
      <c r="B4117" s="1" t="s">
        <v>8748</v>
      </c>
      <c r="C4117" s="1" t="s">
        <v>8717</v>
      </c>
      <c r="D4117" s="1" t="s">
        <v>8718</v>
      </c>
      <c r="E4117" s="1" t="s">
        <v>8749</v>
      </c>
      <c r="F4117" s="1" t="str">
        <f>HYPERLINK("https://talan.bank.gov.ua/get-user-certificate/J5325D5tK7ZVWo1wIYzz","Завантажити сертифікат")</f>
        <v>Завантажити сертифікат</v>
      </c>
    </row>
    <row r="4118" spans="1:6" x14ac:dyDescent="0.3">
      <c r="A4118" s="2">
        <v>4117</v>
      </c>
      <c r="B4118" s="1" t="s">
        <v>8750</v>
      </c>
      <c r="C4118" s="1" t="s">
        <v>8717</v>
      </c>
      <c r="D4118" s="1" t="s">
        <v>8718</v>
      </c>
      <c r="E4118" s="1" t="s">
        <v>8751</v>
      </c>
      <c r="F4118" s="1" t="str">
        <f>HYPERLINK("https://talan.bank.gov.ua/get-user-certificate/J53253Bk-gHUPCrZE3LK","Завантажити сертифікат")</f>
        <v>Завантажити сертифікат</v>
      </c>
    </row>
    <row r="4119" spans="1:6" ht="28.8" x14ac:dyDescent="0.3">
      <c r="A4119" s="2">
        <v>4118</v>
      </c>
      <c r="B4119" s="1" t="s">
        <v>8752</v>
      </c>
      <c r="C4119" s="1" t="s">
        <v>8753</v>
      </c>
      <c r="D4119" s="1" t="s">
        <v>8754</v>
      </c>
      <c r="E4119" s="1" t="s">
        <v>8755</v>
      </c>
      <c r="F4119" s="1" t="str">
        <f>HYPERLINK("https://talan.bank.gov.ua/get-user-certificate/J53258zxkp5COR56dXFw","Завантажити сертифікат")</f>
        <v>Завантажити сертифікат</v>
      </c>
    </row>
    <row r="4120" spans="1:6" ht="28.8" x14ac:dyDescent="0.3">
      <c r="A4120" s="2">
        <v>4119</v>
      </c>
      <c r="B4120" s="1" t="s">
        <v>8756</v>
      </c>
      <c r="C4120" s="1" t="s">
        <v>8753</v>
      </c>
      <c r="D4120" s="1" t="s">
        <v>8754</v>
      </c>
      <c r="E4120" s="1" t="s">
        <v>8757</v>
      </c>
      <c r="F4120" s="1" t="str">
        <f>HYPERLINK("https://talan.bank.gov.ua/get-user-certificate/J5325JdUmUWh63LKPm2m","Завантажити сертифікат")</f>
        <v>Завантажити сертифікат</v>
      </c>
    </row>
    <row r="4121" spans="1:6" ht="28.8" x14ac:dyDescent="0.3">
      <c r="A4121" s="2">
        <v>4120</v>
      </c>
      <c r="B4121" s="1" t="s">
        <v>8758</v>
      </c>
      <c r="C4121" s="1" t="s">
        <v>8753</v>
      </c>
      <c r="D4121" s="1" t="s">
        <v>8754</v>
      </c>
      <c r="E4121" s="1" t="s">
        <v>8759</v>
      </c>
      <c r="F4121" s="1" t="str">
        <f>HYPERLINK("https://talan.bank.gov.ua/get-user-certificate/J5325huPriJsR76Hs0_T","Завантажити сертифікат")</f>
        <v>Завантажити сертифікат</v>
      </c>
    </row>
    <row r="4122" spans="1:6" ht="28.8" x14ac:dyDescent="0.3">
      <c r="A4122" s="2">
        <v>4121</v>
      </c>
      <c r="B4122" s="1" t="s">
        <v>8760</v>
      </c>
      <c r="C4122" s="1" t="s">
        <v>8753</v>
      </c>
      <c r="D4122" s="1" t="s">
        <v>8754</v>
      </c>
      <c r="E4122" s="1" t="s">
        <v>8761</v>
      </c>
      <c r="F4122" s="1" t="str">
        <f>HYPERLINK("https://talan.bank.gov.ua/get-user-certificate/J5325bF0yg18iGf0hUJ4","Завантажити сертифікат")</f>
        <v>Завантажити сертифікат</v>
      </c>
    </row>
    <row r="4123" spans="1:6" ht="28.8" x14ac:dyDescent="0.3">
      <c r="A4123" s="2">
        <v>4122</v>
      </c>
      <c r="B4123" s="1" t="s">
        <v>8762</v>
      </c>
      <c r="C4123" s="1" t="s">
        <v>8753</v>
      </c>
      <c r="D4123" s="1" t="s">
        <v>8754</v>
      </c>
      <c r="E4123" s="1" t="s">
        <v>8763</v>
      </c>
      <c r="F4123" s="1" t="str">
        <f>HYPERLINK("https://talan.bank.gov.ua/get-user-certificate/J5325u0HlwuA2oxOBLFc","Завантажити сертифікат")</f>
        <v>Завантажити сертифікат</v>
      </c>
    </row>
    <row r="4124" spans="1:6" ht="28.8" x14ac:dyDescent="0.3">
      <c r="A4124" s="2">
        <v>4123</v>
      </c>
      <c r="B4124" s="1" t="s">
        <v>8764</v>
      </c>
      <c r="C4124" s="1" t="s">
        <v>8753</v>
      </c>
      <c r="D4124" s="1" t="s">
        <v>8754</v>
      </c>
      <c r="E4124" s="1" t="s">
        <v>8765</v>
      </c>
      <c r="F4124" s="1" t="str">
        <f>HYPERLINK("https://talan.bank.gov.ua/get-user-certificate/J5325rjlHY0IKVUV57v3","Завантажити сертифікат")</f>
        <v>Завантажити сертифікат</v>
      </c>
    </row>
    <row r="4125" spans="1:6" ht="28.8" x14ac:dyDescent="0.3">
      <c r="A4125" s="2">
        <v>4124</v>
      </c>
      <c r="B4125" s="1" t="s">
        <v>8766</v>
      </c>
      <c r="C4125" s="1" t="s">
        <v>8753</v>
      </c>
      <c r="D4125" s="1" t="s">
        <v>8754</v>
      </c>
      <c r="E4125" s="1" t="s">
        <v>8767</v>
      </c>
      <c r="F4125" s="1" t="str">
        <f>HYPERLINK("https://talan.bank.gov.ua/get-user-certificate/J5325ge3TBJlC3u1YYZk","Завантажити сертифікат")</f>
        <v>Завантажити сертифікат</v>
      </c>
    </row>
    <row r="4126" spans="1:6" ht="28.8" x14ac:dyDescent="0.3">
      <c r="A4126" s="2">
        <v>4125</v>
      </c>
      <c r="B4126" s="1" t="s">
        <v>8768</v>
      </c>
      <c r="C4126" s="1" t="s">
        <v>8753</v>
      </c>
      <c r="D4126" s="1" t="s">
        <v>8754</v>
      </c>
      <c r="E4126" s="1" t="s">
        <v>8769</v>
      </c>
      <c r="F4126" s="1" t="str">
        <f>HYPERLINK("https://talan.bank.gov.ua/get-user-certificate/J5325kIcD17soWyvYF8F","Завантажити сертифікат")</f>
        <v>Завантажити сертифікат</v>
      </c>
    </row>
    <row r="4127" spans="1:6" ht="28.8" x14ac:dyDescent="0.3">
      <c r="A4127" s="2">
        <v>4126</v>
      </c>
      <c r="B4127" s="1" t="s">
        <v>8770</v>
      </c>
      <c r="C4127" s="1" t="s">
        <v>8753</v>
      </c>
      <c r="D4127" s="1" t="s">
        <v>8754</v>
      </c>
      <c r="E4127" s="1" t="s">
        <v>8771</v>
      </c>
      <c r="F4127" s="1" t="str">
        <f>HYPERLINK("https://talan.bank.gov.ua/get-user-certificate/J5325tUdUsB66B-oyFTP","Завантажити сертифікат")</f>
        <v>Завантажити сертифікат</v>
      </c>
    </row>
    <row r="4128" spans="1:6" ht="28.8" x14ac:dyDescent="0.3">
      <c r="A4128" s="2">
        <v>4127</v>
      </c>
      <c r="B4128" s="1" t="s">
        <v>8772</v>
      </c>
      <c r="C4128" s="1" t="s">
        <v>8753</v>
      </c>
      <c r="D4128" s="1" t="s">
        <v>8754</v>
      </c>
      <c r="E4128" s="1" t="s">
        <v>8773</v>
      </c>
      <c r="F4128" s="1" t="str">
        <f>HYPERLINK("https://talan.bank.gov.ua/get-user-certificate/J53251WQXQB1IO-3AcNV","Завантажити сертифікат")</f>
        <v>Завантажити сертифікат</v>
      </c>
    </row>
    <row r="4129" spans="1:6" ht="28.8" x14ac:dyDescent="0.3">
      <c r="A4129" s="2">
        <v>4128</v>
      </c>
      <c r="B4129" s="1" t="s">
        <v>8774</v>
      </c>
      <c r="C4129" s="1" t="s">
        <v>8753</v>
      </c>
      <c r="D4129" s="1" t="s">
        <v>8754</v>
      </c>
      <c r="E4129" s="1" t="s">
        <v>8775</v>
      </c>
      <c r="F4129" s="1" t="str">
        <f>HYPERLINK("https://talan.bank.gov.ua/get-user-certificate/J5325YrvsYXvWGBZL72J","Завантажити сертифікат")</f>
        <v>Завантажити сертифікат</v>
      </c>
    </row>
    <row r="4130" spans="1:6" ht="28.8" x14ac:dyDescent="0.3">
      <c r="A4130" s="2">
        <v>4129</v>
      </c>
      <c r="B4130" s="1" t="s">
        <v>8776</v>
      </c>
      <c r="C4130" s="1" t="s">
        <v>8753</v>
      </c>
      <c r="D4130" s="1" t="s">
        <v>8754</v>
      </c>
      <c r="E4130" s="1" t="s">
        <v>8777</v>
      </c>
      <c r="F4130" s="1" t="str">
        <f>HYPERLINK("https://talan.bank.gov.ua/get-user-certificate/J5325wKBE6JlZNswAoV3","Завантажити сертифікат")</f>
        <v>Завантажити сертифікат</v>
      </c>
    </row>
    <row r="4131" spans="1:6" ht="28.8" x14ac:dyDescent="0.3">
      <c r="A4131" s="2">
        <v>4130</v>
      </c>
      <c r="B4131" s="1" t="s">
        <v>8778</v>
      </c>
      <c r="C4131" s="1" t="s">
        <v>8753</v>
      </c>
      <c r="D4131" s="1" t="s">
        <v>8754</v>
      </c>
      <c r="E4131" s="1" t="s">
        <v>8779</v>
      </c>
      <c r="F4131" s="1" t="str">
        <f>HYPERLINK("https://talan.bank.gov.ua/get-user-certificate/J5325VtdMV-SHm9Yvyii","Завантажити сертифікат")</f>
        <v>Завантажити сертифікат</v>
      </c>
    </row>
    <row r="4132" spans="1:6" ht="28.8" x14ac:dyDescent="0.3">
      <c r="A4132" s="2">
        <v>4131</v>
      </c>
      <c r="B4132" s="1" t="s">
        <v>8780</v>
      </c>
      <c r="C4132" s="1" t="s">
        <v>8781</v>
      </c>
      <c r="D4132" s="1" t="s">
        <v>8782</v>
      </c>
      <c r="E4132" s="1" t="s">
        <v>8783</v>
      </c>
      <c r="F4132" s="1" t="str">
        <f>HYPERLINK("https://talan.bank.gov.ua/get-user-certificate/J5325OibBu1FJdR8e65y","Завантажити сертифікат")</f>
        <v>Завантажити сертифікат</v>
      </c>
    </row>
    <row r="4133" spans="1:6" ht="28.8" x14ac:dyDescent="0.3">
      <c r="A4133" s="2">
        <v>4132</v>
      </c>
      <c r="B4133" s="1" t="s">
        <v>8784</v>
      </c>
      <c r="C4133" s="1" t="s">
        <v>8781</v>
      </c>
      <c r="D4133" s="1" t="s">
        <v>8782</v>
      </c>
      <c r="E4133" s="1" t="s">
        <v>8785</v>
      </c>
      <c r="F4133" s="1" t="str">
        <f>HYPERLINK("https://talan.bank.gov.ua/get-user-certificate/J5325BqpHGJcM5sBjJxb","Завантажити сертифікат")</f>
        <v>Завантажити сертифікат</v>
      </c>
    </row>
    <row r="4134" spans="1:6" ht="28.8" x14ac:dyDescent="0.3">
      <c r="A4134" s="2">
        <v>4133</v>
      </c>
      <c r="B4134" s="1" t="s">
        <v>8786</v>
      </c>
      <c r="C4134" s="1" t="s">
        <v>8781</v>
      </c>
      <c r="D4134" s="1" t="s">
        <v>8782</v>
      </c>
      <c r="E4134" s="1" t="s">
        <v>8787</v>
      </c>
      <c r="F4134" s="1" t="str">
        <f>HYPERLINK("https://talan.bank.gov.ua/get-user-certificate/J5325GrnISy0X0nTC0IW","Завантажити сертифікат")</f>
        <v>Завантажити сертифікат</v>
      </c>
    </row>
    <row r="4135" spans="1:6" ht="28.8" x14ac:dyDescent="0.3">
      <c r="A4135" s="2">
        <v>4134</v>
      </c>
      <c r="B4135" s="1" t="s">
        <v>8788</v>
      </c>
      <c r="C4135" s="1" t="s">
        <v>8781</v>
      </c>
      <c r="D4135" s="1" t="s">
        <v>8782</v>
      </c>
      <c r="E4135" s="1" t="s">
        <v>8789</v>
      </c>
      <c r="F4135" s="1" t="str">
        <f>HYPERLINK("https://talan.bank.gov.ua/get-user-certificate/J5325Qaz15IHFVmAmpYq","Завантажити сертифікат")</f>
        <v>Завантажити сертифікат</v>
      </c>
    </row>
    <row r="4136" spans="1:6" ht="28.8" x14ac:dyDescent="0.3">
      <c r="A4136" s="2">
        <v>4135</v>
      </c>
      <c r="B4136" s="1" t="s">
        <v>8790</v>
      </c>
      <c r="C4136" s="1" t="s">
        <v>8781</v>
      </c>
      <c r="D4136" s="1" t="s">
        <v>8782</v>
      </c>
      <c r="E4136" s="1" t="s">
        <v>8791</v>
      </c>
      <c r="F4136" s="1" t="str">
        <f>HYPERLINK("https://talan.bank.gov.ua/get-user-certificate/J5325DRRWxbT39kkP6rV","Завантажити сертифікат")</f>
        <v>Завантажити сертифікат</v>
      </c>
    </row>
    <row r="4137" spans="1:6" ht="28.8" x14ac:dyDescent="0.3">
      <c r="A4137" s="2">
        <v>4136</v>
      </c>
      <c r="B4137" s="1" t="s">
        <v>8792</v>
      </c>
      <c r="C4137" s="1" t="s">
        <v>8781</v>
      </c>
      <c r="D4137" s="1" t="s">
        <v>8782</v>
      </c>
      <c r="E4137" s="1" t="s">
        <v>8793</v>
      </c>
      <c r="F4137" s="1" t="str">
        <f>HYPERLINK("https://talan.bank.gov.ua/get-user-certificate/J5325tjkJJ0xux4q__yw","Завантажити сертифікат")</f>
        <v>Завантажити сертифікат</v>
      </c>
    </row>
    <row r="4138" spans="1:6" ht="28.8" x14ac:dyDescent="0.3">
      <c r="A4138" s="2">
        <v>4137</v>
      </c>
      <c r="B4138" s="1" t="s">
        <v>8794</v>
      </c>
      <c r="C4138" s="1" t="s">
        <v>8781</v>
      </c>
      <c r="D4138" s="1" t="s">
        <v>8782</v>
      </c>
      <c r="E4138" s="1" t="s">
        <v>8795</v>
      </c>
      <c r="F4138" s="1" t="str">
        <f>HYPERLINK("https://talan.bank.gov.ua/get-user-certificate/J5325jEEeuuv-R1epvnG","Завантажити сертифікат")</f>
        <v>Завантажити сертифікат</v>
      </c>
    </row>
    <row r="4139" spans="1:6" ht="28.8" x14ac:dyDescent="0.3">
      <c r="A4139" s="2">
        <v>4138</v>
      </c>
      <c r="B4139" s="1" t="s">
        <v>8796</v>
      </c>
      <c r="C4139" s="1" t="s">
        <v>8781</v>
      </c>
      <c r="D4139" s="1" t="s">
        <v>8782</v>
      </c>
      <c r="E4139" s="1" t="s">
        <v>8797</v>
      </c>
      <c r="F4139" s="1" t="str">
        <f>HYPERLINK("https://talan.bank.gov.ua/get-user-certificate/J532531sdqpgfTIpioK7","Завантажити сертифікат")</f>
        <v>Завантажити сертифікат</v>
      </c>
    </row>
    <row r="4140" spans="1:6" ht="28.8" x14ac:dyDescent="0.3">
      <c r="A4140" s="2">
        <v>4139</v>
      </c>
      <c r="B4140" s="1" t="s">
        <v>8798</v>
      </c>
      <c r="C4140" s="1" t="s">
        <v>8781</v>
      </c>
      <c r="D4140" s="1" t="s">
        <v>8782</v>
      </c>
      <c r="E4140" s="1" t="s">
        <v>8799</v>
      </c>
      <c r="F4140" s="1" t="str">
        <f>HYPERLINK("https://talan.bank.gov.ua/get-user-certificate/J5325OpK94zkB_kTW7ak","Завантажити сертифікат")</f>
        <v>Завантажити сертифікат</v>
      </c>
    </row>
    <row r="4141" spans="1:6" ht="28.8" x14ac:dyDescent="0.3">
      <c r="A4141" s="2">
        <v>4140</v>
      </c>
      <c r="B4141" s="1" t="s">
        <v>8800</v>
      </c>
      <c r="C4141" s="1" t="s">
        <v>8781</v>
      </c>
      <c r="D4141" s="1" t="s">
        <v>8782</v>
      </c>
      <c r="E4141" s="1" t="s">
        <v>8801</v>
      </c>
      <c r="F4141" s="1" t="str">
        <f>HYPERLINK("https://talan.bank.gov.ua/get-user-certificate/J5325Taz2cCmVE5n_GTi","Завантажити сертифікат")</f>
        <v>Завантажити сертифікат</v>
      </c>
    </row>
    <row r="4142" spans="1:6" ht="28.8" x14ac:dyDescent="0.3">
      <c r="A4142" s="2">
        <v>4141</v>
      </c>
      <c r="B4142" s="1" t="s">
        <v>8802</v>
      </c>
      <c r="C4142" s="1" t="s">
        <v>8781</v>
      </c>
      <c r="D4142" s="1" t="s">
        <v>8782</v>
      </c>
      <c r="E4142" s="1" t="s">
        <v>8803</v>
      </c>
      <c r="F4142" s="1" t="str">
        <f>HYPERLINK("https://talan.bank.gov.ua/get-user-certificate/J53254zjL3NfWa3watrx","Завантажити сертифікат")</f>
        <v>Завантажити сертифікат</v>
      </c>
    </row>
    <row r="4143" spans="1:6" ht="28.8" x14ac:dyDescent="0.3">
      <c r="A4143" s="2">
        <v>4142</v>
      </c>
      <c r="B4143" s="1" t="s">
        <v>8804</v>
      </c>
      <c r="C4143" s="1" t="s">
        <v>8781</v>
      </c>
      <c r="D4143" s="1" t="s">
        <v>8782</v>
      </c>
      <c r="E4143" s="1" t="s">
        <v>8805</v>
      </c>
      <c r="F4143" s="1" t="str">
        <f>HYPERLINK("https://talan.bank.gov.ua/get-user-certificate/J53256Nv9u3oA7CRRlgR","Завантажити сертифікат")</f>
        <v>Завантажити сертифікат</v>
      </c>
    </row>
    <row r="4144" spans="1:6" ht="28.8" x14ac:dyDescent="0.3">
      <c r="A4144" s="2">
        <v>4143</v>
      </c>
      <c r="B4144" s="1" t="s">
        <v>8806</v>
      </c>
      <c r="C4144" s="1" t="s">
        <v>8781</v>
      </c>
      <c r="D4144" s="1" t="s">
        <v>8782</v>
      </c>
      <c r="E4144" s="1" t="s">
        <v>8807</v>
      </c>
      <c r="F4144" s="1" t="str">
        <f>HYPERLINK("https://talan.bank.gov.ua/get-user-certificate/J5325C3Xjszj-GzlARQf","Завантажити сертифікат")</f>
        <v>Завантажити сертифікат</v>
      </c>
    </row>
    <row r="4145" spans="1:6" ht="28.8" x14ac:dyDescent="0.3">
      <c r="A4145" s="2">
        <v>4144</v>
      </c>
      <c r="B4145" s="1" t="s">
        <v>8808</v>
      </c>
      <c r="C4145" s="1" t="s">
        <v>8781</v>
      </c>
      <c r="D4145" s="1" t="s">
        <v>8782</v>
      </c>
      <c r="E4145" s="1" t="s">
        <v>8809</v>
      </c>
      <c r="F4145" s="1" t="str">
        <f>HYPERLINK("https://talan.bank.gov.ua/get-user-certificate/J5325eH5A7xivHM64Wj2","Завантажити сертифікат")</f>
        <v>Завантажити сертифікат</v>
      </c>
    </row>
    <row r="4146" spans="1:6" ht="28.8" x14ac:dyDescent="0.3">
      <c r="A4146" s="2">
        <v>4145</v>
      </c>
      <c r="B4146" s="1" t="s">
        <v>8810</v>
      </c>
      <c r="C4146" s="1" t="s">
        <v>8781</v>
      </c>
      <c r="D4146" s="1" t="s">
        <v>8782</v>
      </c>
      <c r="E4146" s="1" t="s">
        <v>8811</v>
      </c>
      <c r="F4146" s="1" t="str">
        <f>HYPERLINK("https://talan.bank.gov.ua/get-user-certificate/J5325QmxUGBPGLRNDp57","Завантажити сертифікат")</f>
        <v>Завантажити сертифікат</v>
      </c>
    </row>
    <row r="4147" spans="1:6" ht="28.8" x14ac:dyDescent="0.3">
      <c r="A4147" s="2">
        <v>4146</v>
      </c>
      <c r="B4147" s="1" t="s">
        <v>8812</v>
      </c>
      <c r="C4147" s="1" t="s">
        <v>8781</v>
      </c>
      <c r="D4147" s="1" t="s">
        <v>8782</v>
      </c>
      <c r="E4147" s="1" t="s">
        <v>8813</v>
      </c>
      <c r="F4147" s="1" t="str">
        <f>HYPERLINK("https://talan.bank.gov.ua/get-user-certificate/J5325ZxZ2SBzjjclVoml","Завантажити сертифікат")</f>
        <v>Завантажити сертифікат</v>
      </c>
    </row>
    <row r="4148" spans="1:6" ht="28.8" x14ac:dyDescent="0.3">
      <c r="A4148" s="2">
        <v>4147</v>
      </c>
      <c r="B4148" s="1" t="s">
        <v>8814</v>
      </c>
      <c r="C4148" s="1" t="s">
        <v>8781</v>
      </c>
      <c r="D4148" s="1" t="s">
        <v>8782</v>
      </c>
      <c r="E4148" s="1" t="s">
        <v>8815</v>
      </c>
      <c r="F4148" s="1" t="str">
        <f>HYPERLINK("https://talan.bank.gov.ua/get-user-certificate/J5325PfLxzI3kO39RpEQ","Завантажити сертифікат")</f>
        <v>Завантажити сертифікат</v>
      </c>
    </row>
    <row r="4149" spans="1:6" ht="28.8" x14ac:dyDescent="0.3">
      <c r="A4149" s="2">
        <v>4148</v>
      </c>
      <c r="B4149" s="1" t="s">
        <v>8816</v>
      </c>
      <c r="C4149" s="1" t="s">
        <v>8781</v>
      </c>
      <c r="D4149" s="1" t="s">
        <v>8782</v>
      </c>
      <c r="E4149" s="1" t="s">
        <v>8817</v>
      </c>
      <c r="F4149" s="1" t="str">
        <f>HYPERLINK("https://talan.bank.gov.ua/get-user-certificate/J5325SXDklZROMwFGpVC","Завантажити сертифікат")</f>
        <v>Завантажити сертифікат</v>
      </c>
    </row>
    <row r="4150" spans="1:6" ht="28.8" x14ac:dyDescent="0.3">
      <c r="A4150" s="2">
        <v>4149</v>
      </c>
      <c r="B4150" s="1" t="s">
        <v>8818</v>
      </c>
      <c r="C4150" s="1" t="s">
        <v>8781</v>
      </c>
      <c r="D4150" s="1" t="s">
        <v>8782</v>
      </c>
      <c r="E4150" s="1" t="s">
        <v>8819</v>
      </c>
      <c r="F4150" s="1" t="str">
        <f>HYPERLINK("https://talan.bank.gov.ua/get-user-certificate/J5325tD-NfJCbuMkhe2r","Завантажити сертифікат")</f>
        <v>Завантажити сертифікат</v>
      </c>
    </row>
    <row r="4151" spans="1:6" ht="28.8" x14ac:dyDescent="0.3">
      <c r="A4151" s="2">
        <v>4150</v>
      </c>
      <c r="B4151" s="1" t="s">
        <v>8820</v>
      </c>
      <c r="C4151" s="1" t="s">
        <v>8781</v>
      </c>
      <c r="D4151" s="1" t="s">
        <v>8782</v>
      </c>
      <c r="E4151" s="1" t="s">
        <v>8821</v>
      </c>
      <c r="F4151" s="1" t="str">
        <f>HYPERLINK("https://talan.bank.gov.ua/get-user-certificate/J5325RRzNeOzuHGu5S0x","Завантажити сертифікат")</f>
        <v>Завантажити сертифікат</v>
      </c>
    </row>
    <row r="4152" spans="1:6" ht="28.8" x14ac:dyDescent="0.3">
      <c r="A4152" s="2">
        <v>4151</v>
      </c>
      <c r="B4152" s="1" t="s">
        <v>8822</v>
      </c>
      <c r="C4152" s="1" t="s">
        <v>8781</v>
      </c>
      <c r="D4152" s="1" t="s">
        <v>8782</v>
      </c>
      <c r="E4152" s="1" t="s">
        <v>8823</v>
      </c>
      <c r="F4152" s="1" t="str">
        <f>HYPERLINK("https://talan.bank.gov.ua/get-user-certificate/J5325cw4RbVbWzvoTQsc","Завантажити сертифікат")</f>
        <v>Завантажити сертифікат</v>
      </c>
    </row>
    <row r="4153" spans="1:6" ht="28.8" x14ac:dyDescent="0.3">
      <c r="A4153" s="2">
        <v>4152</v>
      </c>
      <c r="B4153" s="1" t="s">
        <v>8824</v>
      </c>
      <c r="C4153" s="1" t="s">
        <v>8781</v>
      </c>
      <c r="D4153" s="1" t="s">
        <v>8782</v>
      </c>
      <c r="E4153" s="1" t="s">
        <v>8825</v>
      </c>
      <c r="F4153" s="1" t="str">
        <f>HYPERLINK("https://talan.bank.gov.ua/get-user-certificate/J5325pes9nD9Vk3_U_Rz","Завантажити сертифікат")</f>
        <v>Завантажити сертифікат</v>
      </c>
    </row>
    <row r="4154" spans="1:6" ht="28.8" x14ac:dyDescent="0.3">
      <c r="A4154" s="2">
        <v>4153</v>
      </c>
      <c r="B4154" s="1" t="s">
        <v>8826</v>
      </c>
      <c r="C4154" s="1" t="s">
        <v>8781</v>
      </c>
      <c r="D4154" s="1" t="s">
        <v>8782</v>
      </c>
      <c r="E4154" s="1" t="s">
        <v>8827</v>
      </c>
      <c r="F4154" s="1" t="str">
        <f>HYPERLINK("https://talan.bank.gov.ua/get-user-certificate/J5325D3CxCfK9395v7dk","Завантажити сертифікат")</f>
        <v>Завантажити сертифікат</v>
      </c>
    </row>
    <row r="4155" spans="1:6" ht="28.8" x14ac:dyDescent="0.3">
      <c r="A4155" s="2">
        <v>4154</v>
      </c>
      <c r="B4155" s="1" t="s">
        <v>8828</v>
      </c>
      <c r="C4155" s="1" t="s">
        <v>8781</v>
      </c>
      <c r="D4155" s="1" t="s">
        <v>8782</v>
      </c>
      <c r="E4155" s="1" t="s">
        <v>8829</v>
      </c>
      <c r="F4155" s="1" t="str">
        <f>HYPERLINK("https://talan.bank.gov.ua/get-user-certificate/J5325aYpKJ4oBOD-F5a1","Завантажити сертифікат")</f>
        <v>Завантажити сертифікат</v>
      </c>
    </row>
    <row r="4156" spans="1:6" ht="28.8" x14ac:dyDescent="0.3">
      <c r="A4156" s="2">
        <v>4155</v>
      </c>
      <c r="B4156" s="1" t="s">
        <v>8830</v>
      </c>
      <c r="C4156" s="1" t="s">
        <v>8781</v>
      </c>
      <c r="D4156" s="1" t="s">
        <v>8782</v>
      </c>
      <c r="E4156" s="1" t="s">
        <v>8831</v>
      </c>
      <c r="F4156" s="1" t="str">
        <f>HYPERLINK("https://talan.bank.gov.ua/get-user-certificate/J5325zN-RxRyDx2uYicx","Завантажити сертифікат")</f>
        <v>Завантажити сертифікат</v>
      </c>
    </row>
    <row r="4157" spans="1:6" ht="28.8" x14ac:dyDescent="0.3">
      <c r="A4157" s="2">
        <v>4156</v>
      </c>
      <c r="B4157" s="1" t="s">
        <v>8832</v>
      </c>
      <c r="C4157" s="1" t="s">
        <v>8781</v>
      </c>
      <c r="D4157" s="1" t="s">
        <v>8782</v>
      </c>
      <c r="E4157" s="1" t="s">
        <v>8833</v>
      </c>
      <c r="F4157" s="1" t="str">
        <f>HYPERLINK("https://talan.bank.gov.ua/get-user-certificate/J5325bU_gprLjZNiBPhF","Завантажити сертифікат")</f>
        <v>Завантажити сертифікат</v>
      </c>
    </row>
    <row r="4158" spans="1:6" ht="28.8" x14ac:dyDescent="0.3">
      <c r="A4158" s="2">
        <v>4157</v>
      </c>
      <c r="B4158" s="1" t="s">
        <v>8834</v>
      </c>
      <c r="C4158" s="1" t="s">
        <v>8781</v>
      </c>
      <c r="D4158" s="1" t="s">
        <v>8782</v>
      </c>
      <c r="E4158" s="1" t="s">
        <v>8835</v>
      </c>
      <c r="F4158" s="1" t="str">
        <f>HYPERLINK("https://talan.bank.gov.ua/get-user-certificate/J5325HL2R7y8KryzJcF_","Завантажити сертифікат")</f>
        <v>Завантажити сертифікат</v>
      </c>
    </row>
    <row r="4159" spans="1:6" ht="28.8" x14ac:dyDescent="0.3">
      <c r="A4159" s="2">
        <v>4158</v>
      </c>
      <c r="B4159" s="1" t="s">
        <v>8836</v>
      </c>
      <c r="C4159" s="1" t="s">
        <v>8781</v>
      </c>
      <c r="D4159" s="1" t="s">
        <v>8782</v>
      </c>
      <c r="E4159" s="1" t="s">
        <v>8837</v>
      </c>
      <c r="F4159" s="1" t="str">
        <f>HYPERLINK("https://talan.bank.gov.ua/get-user-certificate/J5325i1C1NYbDsUEDqrL","Завантажити сертифікат")</f>
        <v>Завантажити сертифікат</v>
      </c>
    </row>
    <row r="4160" spans="1:6" ht="28.8" x14ac:dyDescent="0.3">
      <c r="A4160" s="2">
        <v>4159</v>
      </c>
      <c r="B4160" s="1" t="s">
        <v>8838</v>
      </c>
      <c r="C4160" s="1" t="s">
        <v>8781</v>
      </c>
      <c r="D4160" s="1" t="s">
        <v>8782</v>
      </c>
      <c r="E4160" s="1" t="s">
        <v>8839</v>
      </c>
      <c r="F4160" s="1" t="str">
        <f>HYPERLINK("https://talan.bank.gov.ua/get-user-certificate/J5325P_ZVu6jEtTfnjP1","Завантажити сертифікат")</f>
        <v>Завантажити сертифікат</v>
      </c>
    </row>
    <row r="4161" spans="1:6" ht="28.8" x14ac:dyDescent="0.3">
      <c r="A4161" s="2">
        <v>4160</v>
      </c>
      <c r="B4161" s="1" t="s">
        <v>8840</v>
      </c>
      <c r="C4161" s="1" t="s">
        <v>8781</v>
      </c>
      <c r="D4161" s="1" t="s">
        <v>8782</v>
      </c>
      <c r="E4161" s="1" t="s">
        <v>8841</v>
      </c>
      <c r="F4161" s="1" t="str">
        <f>HYPERLINK("https://talan.bank.gov.ua/get-user-certificate/J5325mTn3dfPzSIVNuIJ","Завантажити сертифікат")</f>
        <v>Завантажити сертифікат</v>
      </c>
    </row>
    <row r="4162" spans="1:6" ht="28.8" x14ac:dyDescent="0.3">
      <c r="A4162" s="2">
        <v>4161</v>
      </c>
      <c r="B4162" s="1" t="s">
        <v>8842</v>
      </c>
      <c r="C4162" s="1" t="s">
        <v>8781</v>
      </c>
      <c r="D4162" s="1" t="s">
        <v>8782</v>
      </c>
      <c r="E4162" s="1" t="s">
        <v>8843</v>
      </c>
      <c r="F4162" s="1" t="str">
        <f>HYPERLINK("https://talan.bank.gov.ua/get-user-certificate/J5325WoaljeV5gmXYCa1","Завантажити сертифікат")</f>
        <v>Завантажити сертифікат</v>
      </c>
    </row>
    <row r="4163" spans="1:6" ht="28.8" x14ac:dyDescent="0.3">
      <c r="A4163" s="2">
        <v>4162</v>
      </c>
      <c r="B4163" s="1" t="s">
        <v>8844</v>
      </c>
      <c r="C4163" s="1" t="s">
        <v>8781</v>
      </c>
      <c r="D4163" s="1" t="s">
        <v>8782</v>
      </c>
      <c r="E4163" s="1" t="s">
        <v>8845</v>
      </c>
      <c r="F4163" s="1" t="str">
        <f>HYPERLINK("https://talan.bank.gov.ua/get-user-certificate/J5325KYqK9ukpJ0RE4hp","Завантажити сертифікат")</f>
        <v>Завантажити сертифікат</v>
      </c>
    </row>
    <row r="4164" spans="1:6" ht="28.8" x14ac:dyDescent="0.3">
      <c r="A4164" s="2">
        <v>4163</v>
      </c>
      <c r="B4164" s="1" t="s">
        <v>8846</v>
      </c>
      <c r="C4164" s="1" t="s">
        <v>8781</v>
      </c>
      <c r="D4164" s="1" t="s">
        <v>8782</v>
      </c>
      <c r="E4164" s="1" t="s">
        <v>8847</v>
      </c>
      <c r="F4164" s="1" t="str">
        <f>HYPERLINK("https://talan.bank.gov.ua/get-user-certificate/J5325vZT63v629ufTEyH","Завантажити сертифікат")</f>
        <v>Завантажити сертифікат</v>
      </c>
    </row>
    <row r="4165" spans="1:6" ht="28.8" x14ac:dyDescent="0.3">
      <c r="A4165" s="2">
        <v>4164</v>
      </c>
      <c r="B4165" s="1" t="s">
        <v>8848</v>
      </c>
      <c r="C4165" s="1" t="s">
        <v>8781</v>
      </c>
      <c r="D4165" s="1" t="s">
        <v>8782</v>
      </c>
      <c r="E4165" s="1" t="s">
        <v>8849</v>
      </c>
      <c r="F4165" s="1" t="str">
        <f>HYPERLINK("https://talan.bank.gov.ua/get-user-certificate/J5325brQ3KgKoGlNaiRU","Завантажити сертифікат")</f>
        <v>Завантажити сертифікат</v>
      </c>
    </row>
    <row r="4166" spans="1:6" ht="28.8" x14ac:dyDescent="0.3">
      <c r="A4166" s="2">
        <v>4165</v>
      </c>
      <c r="B4166" s="1" t="s">
        <v>8850</v>
      </c>
      <c r="C4166" s="1" t="s">
        <v>8781</v>
      </c>
      <c r="D4166" s="1" t="s">
        <v>8782</v>
      </c>
      <c r="E4166" s="1" t="s">
        <v>8851</v>
      </c>
      <c r="F4166" s="1" t="str">
        <f>HYPERLINK("https://talan.bank.gov.ua/get-user-certificate/J53258FlVpNaZih41c-H","Завантажити сертифікат")</f>
        <v>Завантажити сертифікат</v>
      </c>
    </row>
    <row r="4167" spans="1:6" ht="28.8" x14ac:dyDescent="0.3">
      <c r="A4167" s="2">
        <v>4166</v>
      </c>
      <c r="B4167" s="1" t="s">
        <v>8852</v>
      </c>
      <c r="C4167" s="1" t="s">
        <v>8781</v>
      </c>
      <c r="D4167" s="1" t="s">
        <v>8782</v>
      </c>
      <c r="E4167" s="1" t="s">
        <v>8853</v>
      </c>
      <c r="F4167" s="1" t="str">
        <f>HYPERLINK("https://talan.bank.gov.ua/get-user-certificate/J5325kLxAX-btg1kB7PW","Завантажити сертифікат")</f>
        <v>Завантажити сертифікат</v>
      </c>
    </row>
    <row r="4168" spans="1:6" ht="28.8" x14ac:dyDescent="0.3">
      <c r="A4168" s="2">
        <v>4167</v>
      </c>
      <c r="B4168" s="1" t="s">
        <v>8854</v>
      </c>
      <c r="C4168" s="1" t="s">
        <v>8781</v>
      </c>
      <c r="D4168" s="1" t="s">
        <v>8782</v>
      </c>
      <c r="E4168" s="1" t="s">
        <v>8855</v>
      </c>
      <c r="F4168" s="1" t="str">
        <f>HYPERLINK("https://talan.bank.gov.ua/get-user-certificate/J53252Eyas2DI8qxavKs","Завантажити сертифікат")</f>
        <v>Завантажити сертифікат</v>
      </c>
    </row>
    <row r="4169" spans="1:6" ht="28.8" x14ac:dyDescent="0.3">
      <c r="A4169" s="2">
        <v>4168</v>
      </c>
      <c r="B4169" s="1" t="s">
        <v>8856</v>
      </c>
      <c r="C4169" s="1" t="s">
        <v>8781</v>
      </c>
      <c r="D4169" s="1" t="s">
        <v>8782</v>
      </c>
      <c r="E4169" s="1" t="s">
        <v>8857</v>
      </c>
      <c r="F4169" s="1" t="str">
        <f>HYPERLINK("https://talan.bank.gov.ua/get-user-certificate/J5325XsfEELa-Z9fNDON","Завантажити сертифікат")</f>
        <v>Завантажити сертифікат</v>
      </c>
    </row>
    <row r="4170" spans="1:6" ht="28.8" x14ac:dyDescent="0.3">
      <c r="A4170" s="2">
        <v>4169</v>
      </c>
      <c r="B4170" s="1" t="s">
        <v>8858</v>
      </c>
      <c r="C4170" s="1" t="s">
        <v>8781</v>
      </c>
      <c r="D4170" s="1" t="s">
        <v>8782</v>
      </c>
      <c r="E4170" s="1" t="s">
        <v>8859</v>
      </c>
      <c r="F4170" s="1" t="str">
        <f>HYPERLINK("https://talan.bank.gov.ua/get-user-certificate/J5325ptHDP-fORS6Urtl","Завантажити сертифікат")</f>
        <v>Завантажити сертифікат</v>
      </c>
    </row>
    <row r="4171" spans="1:6" ht="28.8" x14ac:dyDescent="0.3">
      <c r="A4171" s="2">
        <v>4170</v>
      </c>
      <c r="B4171" s="1" t="s">
        <v>8860</v>
      </c>
      <c r="C4171" s="1" t="s">
        <v>8781</v>
      </c>
      <c r="D4171" s="1" t="s">
        <v>8782</v>
      </c>
      <c r="E4171" s="1" t="s">
        <v>8861</v>
      </c>
      <c r="F4171" s="1" t="str">
        <f>HYPERLINK("https://talan.bank.gov.ua/get-user-certificate/J5325eLsElUQT5o6XusR","Завантажити сертифікат")</f>
        <v>Завантажити сертифікат</v>
      </c>
    </row>
    <row r="4172" spans="1:6" ht="28.8" x14ac:dyDescent="0.3">
      <c r="A4172" s="2">
        <v>4171</v>
      </c>
      <c r="B4172" s="1" t="s">
        <v>8862</v>
      </c>
      <c r="C4172" s="1" t="s">
        <v>8781</v>
      </c>
      <c r="D4172" s="1" t="s">
        <v>8782</v>
      </c>
      <c r="E4172" s="1" t="s">
        <v>8863</v>
      </c>
      <c r="F4172" s="1" t="str">
        <f>HYPERLINK("https://talan.bank.gov.ua/get-user-certificate/J5325acvcGA2JBfUcK0W","Завантажити сертифікат")</f>
        <v>Завантажити сертифікат</v>
      </c>
    </row>
    <row r="4173" spans="1:6" ht="28.8" x14ac:dyDescent="0.3">
      <c r="A4173" s="2">
        <v>4172</v>
      </c>
      <c r="B4173" s="1" t="s">
        <v>8864</v>
      </c>
      <c r="C4173" s="1" t="s">
        <v>8781</v>
      </c>
      <c r="D4173" s="1" t="s">
        <v>8782</v>
      </c>
      <c r="E4173" s="1" t="s">
        <v>8865</v>
      </c>
      <c r="F4173" s="1" t="str">
        <f>HYPERLINK("https://talan.bank.gov.ua/get-user-certificate/J5325euSiT-fo-MSOBzi","Завантажити сертифікат")</f>
        <v>Завантажити сертифікат</v>
      </c>
    </row>
    <row r="4174" spans="1:6" ht="28.8" x14ac:dyDescent="0.3">
      <c r="A4174" s="2">
        <v>4173</v>
      </c>
      <c r="B4174" s="1" t="s">
        <v>8866</v>
      </c>
      <c r="C4174" s="1" t="s">
        <v>8781</v>
      </c>
      <c r="D4174" s="1" t="s">
        <v>8782</v>
      </c>
      <c r="E4174" s="1" t="s">
        <v>8867</v>
      </c>
      <c r="F4174" s="1" t="str">
        <f>HYPERLINK("https://talan.bank.gov.ua/get-user-certificate/J5325ckxn9bLIDV8uKtN","Завантажити сертифікат")</f>
        <v>Завантажити сертифікат</v>
      </c>
    </row>
    <row r="4175" spans="1:6" x14ac:dyDescent="0.3">
      <c r="A4175" s="2">
        <v>4174</v>
      </c>
      <c r="B4175" s="1" t="s">
        <v>8868</v>
      </c>
      <c r="C4175" s="1" t="s">
        <v>8869</v>
      </c>
      <c r="D4175" s="1" t="s">
        <v>8870</v>
      </c>
      <c r="E4175" s="1" t="s">
        <v>8871</v>
      </c>
      <c r="F4175" s="1" t="str">
        <f>HYPERLINK("https://talan.bank.gov.ua/get-user-certificate/J5325v62xZQ8qB0XgLHI","Завантажити сертифікат")</f>
        <v>Завантажити сертифікат</v>
      </c>
    </row>
    <row r="4176" spans="1:6" x14ac:dyDescent="0.3">
      <c r="A4176" s="2">
        <v>4175</v>
      </c>
      <c r="B4176" s="1" t="s">
        <v>8872</v>
      </c>
      <c r="C4176" s="1" t="s">
        <v>8869</v>
      </c>
      <c r="D4176" s="1" t="s">
        <v>8870</v>
      </c>
      <c r="E4176" s="1" t="s">
        <v>8873</v>
      </c>
      <c r="F4176" s="1" t="str">
        <f>HYPERLINK("https://talan.bank.gov.ua/get-user-certificate/J5325uxeAsaCTFtYty47","Завантажити сертифікат")</f>
        <v>Завантажити сертифікат</v>
      </c>
    </row>
    <row r="4177" spans="1:6" x14ac:dyDescent="0.3">
      <c r="A4177" s="2">
        <v>4176</v>
      </c>
      <c r="B4177" s="1" t="s">
        <v>8874</v>
      </c>
      <c r="C4177" s="1" t="s">
        <v>8869</v>
      </c>
      <c r="D4177" s="1" t="s">
        <v>8870</v>
      </c>
      <c r="E4177" s="1" t="s">
        <v>8875</v>
      </c>
      <c r="F4177" s="1" t="str">
        <f>HYPERLINK("https://talan.bank.gov.ua/get-user-certificate/J53253vKNZ-_SvZIlVEF","Завантажити сертифікат")</f>
        <v>Завантажити сертифікат</v>
      </c>
    </row>
    <row r="4178" spans="1:6" ht="28.8" x14ac:dyDescent="0.3">
      <c r="A4178" s="2">
        <v>4177</v>
      </c>
      <c r="B4178" s="1" t="s">
        <v>8876</v>
      </c>
      <c r="C4178" s="1" t="s">
        <v>8869</v>
      </c>
      <c r="D4178" s="1" t="s">
        <v>8870</v>
      </c>
      <c r="E4178" s="1" t="s">
        <v>8877</v>
      </c>
      <c r="F4178" s="1" t="str">
        <f>HYPERLINK("https://talan.bank.gov.ua/get-user-certificate/J5325DL-jsCJmJNTjzM5","Завантажити сертифікат")</f>
        <v>Завантажити сертифікат</v>
      </c>
    </row>
    <row r="4179" spans="1:6" x14ac:dyDescent="0.3">
      <c r="A4179" s="2">
        <v>4178</v>
      </c>
      <c r="B4179" s="1" t="s">
        <v>8878</v>
      </c>
      <c r="C4179" s="1" t="s">
        <v>8869</v>
      </c>
      <c r="D4179" s="1" t="s">
        <v>8870</v>
      </c>
      <c r="E4179" s="1" t="s">
        <v>8879</v>
      </c>
      <c r="F4179" s="1" t="str">
        <f>HYPERLINK("https://talan.bank.gov.ua/get-user-certificate/J5325dT3KocX0BTA3d9R","Завантажити сертифікат")</f>
        <v>Завантажити сертифікат</v>
      </c>
    </row>
    <row r="4180" spans="1:6" x14ac:dyDescent="0.3">
      <c r="A4180" s="2">
        <v>4179</v>
      </c>
      <c r="B4180" s="1" t="s">
        <v>8880</v>
      </c>
      <c r="C4180" s="1" t="s">
        <v>8869</v>
      </c>
      <c r="D4180" s="1" t="s">
        <v>8870</v>
      </c>
      <c r="E4180" s="1" t="s">
        <v>8881</v>
      </c>
      <c r="F4180" s="1" t="str">
        <f>HYPERLINK("https://talan.bank.gov.ua/get-user-certificate/J5325AxIwQkFq3gx2JMN","Завантажити сертифікат")</f>
        <v>Завантажити сертифікат</v>
      </c>
    </row>
    <row r="4181" spans="1:6" x14ac:dyDescent="0.3">
      <c r="A4181" s="2">
        <v>4180</v>
      </c>
      <c r="B4181" s="1" t="s">
        <v>8882</v>
      </c>
      <c r="C4181" s="1" t="s">
        <v>8883</v>
      </c>
      <c r="D4181" s="1" t="s">
        <v>8884</v>
      </c>
      <c r="E4181" s="1" t="s">
        <v>8885</v>
      </c>
      <c r="F4181" s="1" t="str">
        <f>HYPERLINK("https://talan.bank.gov.ua/get-user-certificate/J5325Xb4-WkgSLXxmzDk","Завантажити сертифікат")</f>
        <v>Завантажити сертифікат</v>
      </c>
    </row>
    <row r="4182" spans="1:6" x14ac:dyDescent="0.3">
      <c r="A4182" s="2">
        <v>4181</v>
      </c>
      <c r="B4182" t="s">
        <v>8926</v>
      </c>
      <c r="C4182" t="s">
        <v>8889</v>
      </c>
      <c r="D4182" t="s">
        <v>4870</v>
      </c>
      <c r="E4182" t="s">
        <v>4871</v>
      </c>
      <c r="F4182" t="str">
        <f>HYPERLINK("https://talan.bank.gov.ua/get-user-certificate/TbxZWpPhOPe8BOJR4LLK","Завантажити сертифікат")</f>
        <v>Завантажити сертифікат</v>
      </c>
    </row>
    <row r="4183" spans="1:6" x14ac:dyDescent="0.3">
      <c r="A4183" s="2">
        <v>4182</v>
      </c>
      <c r="B4183" t="s">
        <v>8927</v>
      </c>
      <c r="C4183" t="s">
        <v>8889</v>
      </c>
      <c r="D4183" t="s">
        <v>4870</v>
      </c>
      <c r="E4183" t="s">
        <v>4873</v>
      </c>
      <c r="F4183" t="str">
        <f>HYPERLINK("https://talan.bank.gov.ua/get-user-certificate/TbxZWcG4CSLiR2O9STPO","Завантажити сертифікат")</f>
        <v>Завантажити сертифікат</v>
      </c>
    </row>
    <row r="4184" spans="1:6" x14ac:dyDescent="0.3">
      <c r="A4184" s="2">
        <v>4183</v>
      </c>
      <c r="B4184" t="s">
        <v>8928</v>
      </c>
      <c r="C4184" t="s">
        <v>8889</v>
      </c>
      <c r="D4184" t="s">
        <v>4870</v>
      </c>
      <c r="E4184" t="s">
        <v>4875</v>
      </c>
      <c r="F4184" t="str">
        <f>HYPERLINK("https://talan.bank.gov.ua/get-user-certificate/TbxZW8o5pIr4pDc3hBzH","Завантажити сертифікат")</f>
        <v>Завантажити сертифікат</v>
      </c>
    </row>
    <row r="4185" spans="1:6" x14ac:dyDescent="0.3">
      <c r="A4185" s="2">
        <v>4184</v>
      </c>
      <c r="B4185" t="s">
        <v>8929</v>
      </c>
      <c r="C4185" t="s">
        <v>8889</v>
      </c>
      <c r="D4185" t="s">
        <v>4870</v>
      </c>
      <c r="E4185" t="s">
        <v>4877</v>
      </c>
      <c r="F4185" t="str">
        <f>HYPERLINK("https://talan.bank.gov.ua/get-user-certificate/TbxZW84pPHmzUUJhw0TB","Завантажити сертифікат")</f>
        <v>Завантажити сертифікат</v>
      </c>
    </row>
    <row r="4186" spans="1:6" x14ac:dyDescent="0.3">
      <c r="A4186" s="2">
        <v>4185</v>
      </c>
      <c r="B4186" t="s">
        <v>8930</v>
      </c>
      <c r="C4186" t="s">
        <v>8889</v>
      </c>
      <c r="D4186" t="s">
        <v>4870</v>
      </c>
      <c r="E4186" t="s">
        <v>4879</v>
      </c>
      <c r="F4186" t="str">
        <f>HYPERLINK("https://talan.bank.gov.ua/get-user-certificate/TbxZWA6vgeY8HE8ANFXh","Завантажити сертифікат")</f>
        <v>Завантажити сертифікат</v>
      </c>
    </row>
    <row r="4187" spans="1:6" x14ac:dyDescent="0.3">
      <c r="A4187" s="2">
        <v>4186</v>
      </c>
      <c r="B4187" t="s">
        <v>8931</v>
      </c>
      <c r="C4187" t="s">
        <v>8890</v>
      </c>
      <c r="D4187" t="s">
        <v>8891</v>
      </c>
      <c r="E4187" t="s">
        <v>8892</v>
      </c>
      <c r="F4187" t="str">
        <f>HYPERLINK("https://talan.bank.gov.ua/get-user-certificate/TbxZW9Ywz6P48lNO4KZK","Завантажити сертифікат")</f>
        <v>Завантажити сертифікат</v>
      </c>
    </row>
    <row r="4188" spans="1:6" x14ac:dyDescent="0.3">
      <c r="A4188" s="2">
        <v>4187</v>
      </c>
      <c r="B4188" t="s">
        <v>8932</v>
      </c>
      <c r="C4188" t="s">
        <v>8890</v>
      </c>
      <c r="D4188" t="s">
        <v>8891</v>
      </c>
      <c r="E4188" t="s">
        <v>8893</v>
      </c>
      <c r="F4188" t="str">
        <f>HYPERLINK("https://talan.bank.gov.ua/get-user-certificate/TbxZWxbqB8zz8ibDT1Hl","Завантажити сертифікат")</f>
        <v>Завантажити сертифікат</v>
      </c>
    </row>
    <row r="4189" spans="1:6" x14ac:dyDescent="0.3">
      <c r="A4189" s="2">
        <v>4188</v>
      </c>
      <c r="B4189" t="s">
        <v>8933</v>
      </c>
      <c r="C4189" t="s">
        <v>8890</v>
      </c>
      <c r="D4189" t="s">
        <v>8891</v>
      </c>
      <c r="E4189" t="s">
        <v>8894</v>
      </c>
      <c r="F4189" t="str">
        <f>HYPERLINK("https://talan.bank.gov.ua/get-user-certificate/TbxZWkro6TnpL9jfHaKt","Завантажити сертифікат")</f>
        <v>Завантажити сертифікат</v>
      </c>
    </row>
    <row r="4190" spans="1:6" x14ac:dyDescent="0.3">
      <c r="A4190" s="2">
        <v>4189</v>
      </c>
      <c r="B4190" t="s">
        <v>8934</v>
      </c>
      <c r="C4190" t="s">
        <v>8890</v>
      </c>
      <c r="D4190" t="s">
        <v>8891</v>
      </c>
      <c r="E4190" t="s">
        <v>8895</v>
      </c>
      <c r="F4190" t="str">
        <f>HYPERLINK("https://talan.bank.gov.ua/get-user-certificate/TbxZWqcArB3oMvn9ST0k","Завантажити сертифікат")</f>
        <v>Завантажити сертифікат</v>
      </c>
    </row>
    <row r="4191" spans="1:6" x14ac:dyDescent="0.3">
      <c r="A4191" s="2">
        <v>4190</v>
      </c>
      <c r="B4191" t="s">
        <v>8935</v>
      </c>
      <c r="C4191" t="s">
        <v>8890</v>
      </c>
      <c r="D4191" t="s">
        <v>8891</v>
      </c>
      <c r="E4191" t="s">
        <v>8896</v>
      </c>
      <c r="F4191" t="str">
        <f>HYPERLINK("https://talan.bank.gov.ua/get-user-certificate/TbxZWXFdOyvsWOP7HELC","Завантажити сертифікат")</f>
        <v>Завантажити сертифікат</v>
      </c>
    </row>
    <row r="4192" spans="1:6" x14ac:dyDescent="0.3">
      <c r="A4192" s="2">
        <v>4191</v>
      </c>
      <c r="B4192" t="s">
        <v>8936</v>
      </c>
      <c r="C4192" t="s">
        <v>8890</v>
      </c>
      <c r="D4192" t="s">
        <v>8891</v>
      </c>
      <c r="E4192" t="s">
        <v>8897</v>
      </c>
      <c r="F4192" t="str">
        <f>HYPERLINK("https://talan.bank.gov.ua/get-user-certificate/TbxZWAM-2lhlE27iruZ9","Завантажити сертифікат")</f>
        <v>Завантажити сертифікат</v>
      </c>
    </row>
    <row r="4193" spans="1:6" x14ac:dyDescent="0.3">
      <c r="A4193" s="2">
        <v>4192</v>
      </c>
      <c r="B4193" t="s">
        <v>8937</v>
      </c>
      <c r="C4193" t="s">
        <v>8890</v>
      </c>
      <c r="D4193" t="s">
        <v>8891</v>
      </c>
      <c r="E4193" t="s">
        <v>8898</v>
      </c>
      <c r="F4193" t="str">
        <f>HYPERLINK("https://talan.bank.gov.ua/get-user-certificate/TbxZWXpgazUdDgzywRX7","Завантажити сертифікат")</f>
        <v>Завантажити сертифікат</v>
      </c>
    </row>
    <row r="4194" spans="1:6" x14ac:dyDescent="0.3">
      <c r="A4194" s="2">
        <v>4193</v>
      </c>
      <c r="B4194" t="s">
        <v>8938</v>
      </c>
      <c r="C4194" t="s">
        <v>8890</v>
      </c>
      <c r="D4194" t="s">
        <v>8891</v>
      </c>
      <c r="E4194" t="s">
        <v>8899</v>
      </c>
      <c r="F4194" t="str">
        <f>HYPERLINK("https://talan.bank.gov.ua/get-user-certificate/TbxZW7mrPzM1hNmycPMU","Завантажити сертифікат")</f>
        <v>Завантажити сертифікат</v>
      </c>
    </row>
    <row r="4195" spans="1:6" x14ac:dyDescent="0.3">
      <c r="A4195" s="2">
        <v>4194</v>
      </c>
      <c r="B4195" t="s">
        <v>8939</v>
      </c>
      <c r="C4195" t="s">
        <v>8890</v>
      </c>
      <c r="D4195" t="s">
        <v>8891</v>
      </c>
      <c r="E4195" t="s">
        <v>8900</v>
      </c>
      <c r="F4195" t="str">
        <f>HYPERLINK("https://talan.bank.gov.ua/get-user-certificate/TbxZWbIqRR8rYPcJoMfH","Завантажити сертифікат")</f>
        <v>Завантажити сертифікат</v>
      </c>
    </row>
    <row r="4196" spans="1:6" x14ac:dyDescent="0.3">
      <c r="A4196" s="2">
        <v>4195</v>
      </c>
      <c r="B4196" t="s">
        <v>8940</v>
      </c>
      <c r="C4196" t="s">
        <v>8901</v>
      </c>
      <c r="D4196" t="s">
        <v>8902</v>
      </c>
      <c r="E4196" t="s">
        <v>8903</v>
      </c>
      <c r="F4196" t="str">
        <f>HYPERLINK("https://talan.bank.gov.ua/get-user-certificate/TbxZWkmi3b-_U0QR5a6L","Завантажити сертифікат")</f>
        <v>Завантажити сертифікат</v>
      </c>
    </row>
    <row r="4197" spans="1:6" x14ac:dyDescent="0.3">
      <c r="A4197" s="2">
        <v>4196</v>
      </c>
      <c r="B4197" t="s">
        <v>8941</v>
      </c>
      <c r="C4197" t="s">
        <v>8901</v>
      </c>
      <c r="D4197" t="s">
        <v>8902</v>
      </c>
      <c r="E4197" t="s">
        <v>8904</v>
      </c>
      <c r="F4197" t="str">
        <f>HYPERLINK("https://talan.bank.gov.ua/get-user-certificate/TbxZWHMw6j4dnYeW7iwJ","Завантажити сертифікат")</f>
        <v>Завантажити сертифікат</v>
      </c>
    </row>
    <row r="4198" spans="1:6" x14ac:dyDescent="0.3">
      <c r="A4198" s="2">
        <v>4197</v>
      </c>
      <c r="B4198" t="s">
        <v>8942</v>
      </c>
      <c r="C4198" t="s">
        <v>8901</v>
      </c>
      <c r="D4198" t="s">
        <v>8902</v>
      </c>
      <c r="E4198" t="s">
        <v>8905</v>
      </c>
      <c r="F4198" t="str">
        <f>HYPERLINK("https://talan.bank.gov.ua/get-user-certificate/TbxZWHXf390hP1rno5oI","Завантажити сертифікат")</f>
        <v>Завантажити сертифікат</v>
      </c>
    </row>
    <row r="4199" spans="1:6" x14ac:dyDescent="0.3">
      <c r="A4199" s="2">
        <v>4198</v>
      </c>
      <c r="B4199" t="s">
        <v>8943</v>
      </c>
      <c r="C4199" t="s">
        <v>8901</v>
      </c>
      <c r="D4199" t="s">
        <v>8902</v>
      </c>
      <c r="E4199" t="s">
        <v>8906</v>
      </c>
      <c r="F4199" t="str">
        <f>HYPERLINK("https://talan.bank.gov.ua/get-user-certificate/TbxZW3uwJnBdU6pwkhve","Завантажити сертифікат")</f>
        <v>Завантажити сертифікат</v>
      </c>
    </row>
    <row r="4200" spans="1:6" x14ac:dyDescent="0.3">
      <c r="A4200" s="2">
        <v>4199</v>
      </c>
      <c r="B4200" t="s">
        <v>8944</v>
      </c>
      <c r="C4200" t="s">
        <v>8901</v>
      </c>
      <c r="D4200" t="s">
        <v>8902</v>
      </c>
      <c r="E4200" t="s">
        <v>8907</v>
      </c>
      <c r="F4200" t="str">
        <f>HYPERLINK("https://talan.bank.gov.ua/get-user-certificate/TbxZWYVkaqSDEau3G1ln","Завантажити сертифікат")</f>
        <v>Завантажити сертифікат</v>
      </c>
    </row>
    <row r="4201" spans="1:6" x14ac:dyDescent="0.3">
      <c r="A4201" s="2">
        <v>4200</v>
      </c>
      <c r="B4201" t="s">
        <v>8945</v>
      </c>
      <c r="C4201" t="s">
        <v>8901</v>
      </c>
      <c r="D4201" t="s">
        <v>8902</v>
      </c>
      <c r="E4201" t="s">
        <v>8908</v>
      </c>
      <c r="F4201" t="str">
        <f>HYPERLINK("https://talan.bank.gov.ua/get-user-certificate/TbxZWe5MNIvVK1ExM8bA","Завантажити сертифікат")</f>
        <v>Завантажити сертифікат</v>
      </c>
    </row>
    <row r="4202" spans="1:6" x14ac:dyDescent="0.3">
      <c r="A4202" s="2">
        <v>4201</v>
      </c>
      <c r="B4202" t="s">
        <v>8946</v>
      </c>
      <c r="C4202" t="s">
        <v>8909</v>
      </c>
      <c r="D4202" t="s">
        <v>8910</v>
      </c>
      <c r="E4202" t="s">
        <v>8911</v>
      </c>
      <c r="F4202" t="str">
        <f>HYPERLINK("https://talan.bank.gov.ua/get-user-certificate/TbxZW1ibAy3yUq19Fwp7","Завантажити сертифікат")</f>
        <v>Завантажити сертифікат</v>
      </c>
    </row>
    <row r="4203" spans="1:6" x14ac:dyDescent="0.3">
      <c r="A4203" s="2">
        <v>4202</v>
      </c>
      <c r="B4203" t="s">
        <v>8947</v>
      </c>
      <c r="C4203" t="s">
        <v>8909</v>
      </c>
      <c r="D4203" t="s">
        <v>8910</v>
      </c>
      <c r="E4203" t="s">
        <v>8912</v>
      </c>
      <c r="F4203" t="str">
        <f>HYPERLINK("https://talan.bank.gov.ua/get-user-certificate/TbxZWqgLu84mGQq9mttD","Завантажити сертифікат")</f>
        <v>Завантажити сертифікат</v>
      </c>
    </row>
    <row r="4204" spans="1:6" x14ac:dyDescent="0.3">
      <c r="A4204" s="2">
        <v>4203</v>
      </c>
      <c r="B4204" t="s">
        <v>8948</v>
      </c>
      <c r="C4204" t="s">
        <v>8909</v>
      </c>
      <c r="D4204" t="s">
        <v>8910</v>
      </c>
      <c r="E4204" t="s">
        <v>8913</v>
      </c>
      <c r="F4204" t="str">
        <f>HYPERLINK("https://talan.bank.gov.ua/get-user-certificate/TbxZWjubK_9lxgU6XrEt","Завантажити сертифікат")</f>
        <v>Завантажити сертифікат</v>
      </c>
    </row>
    <row r="4205" spans="1:6" x14ac:dyDescent="0.3">
      <c r="A4205" s="2">
        <v>4204</v>
      </c>
      <c r="B4205" t="s">
        <v>8949</v>
      </c>
      <c r="C4205" t="s">
        <v>8909</v>
      </c>
      <c r="D4205" t="s">
        <v>8910</v>
      </c>
      <c r="E4205" t="s">
        <v>8914</v>
      </c>
      <c r="F4205" t="str">
        <f>HYPERLINK("https://talan.bank.gov.ua/get-user-certificate/TbxZWdC3hNl9THKI_Lj6","Завантажити сертифікат")</f>
        <v>Завантажити сертифікат</v>
      </c>
    </row>
    <row r="4206" spans="1:6" x14ac:dyDescent="0.3">
      <c r="A4206" s="2">
        <v>4205</v>
      </c>
      <c r="B4206" t="s">
        <v>8950</v>
      </c>
      <c r="C4206" t="s">
        <v>8909</v>
      </c>
      <c r="D4206" t="s">
        <v>8910</v>
      </c>
      <c r="E4206" t="s">
        <v>8915</v>
      </c>
      <c r="F4206" t="str">
        <f>HYPERLINK("https://talan.bank.gov.ua/get-user-certificate/TbxZW0ME1dMYOclAr-Tq","Завантажити сертифікат")</f>
        <v>Завантажити сертифікат</v>
      </c>
    </row>
    <row r="4207" spans="1:6" x14ac:dyDescent="0.3">
      <c r="A4207" s="2">
        <v>4206</v>
      </c>
      <c r="B4207" t="s">
        <v>8951</v>
      </c>
      <c r="C4207" t="s">
        <v>8909</v>
      </c>
      <c r="D4207" t="s">
        <v>8910</v>
      </c>
      <c r="E4207" t="s">
        <v>8916</v>
      </c>
      <c r="F4207" t="str">
        <f>HYPERLINK("https://talan.bank.gov.ua/get-user-certificate/TbxZWDLhn6Tsyu82sITA","Завантажити сертифікат")</f>
        <v>Завантажити сертифікат</v>
      </c>
    </row>
    <row r="4208" spans="1:6" x14ac:dyDescent="0.3">
      <c r="A4208" s="2">
        <v>4207</v>
      </c>
      <c r="B4208" t="s">
        <v>8952</v>
      </c>
      <c r="C4208" t="s">
        <v>8909</v>
      </c>
      <c r="D4208" t="s">
        <v>8910</v>
      </c>
      <c r="E4208" t="s">
        <v>8917</v>
      </c>
      <c r="F4208" t="str">
        <f>HYPERLINK("https://talan.bank.gov.ua/get-user-certificate/TbxZW5xjSaZlz5Js3D3p","Завантажити сертифікат")</f>
        <v>Завантажити сертифікат</v>
      </c>
    </row>
    <row r="4209" spans="1:6" x14ac:dyDescent="0.3">
      <c r="A4209" s="2">
        <v>4208</v>
      </c>
      <c r="B4209" t="s">
        <v>8953</v>
      </c>
      <c r="C4209" t="s">
        <v>8909</v>
      </c>
      <c r="D4209" t="s">
        <v>8910</v>
      </c>
      <c r="E4209" t="s">
        <v>8918</v>
      </c>
      <c r="F4209" t="str">
        <f>HYPERLINK("https://talan.bank.gov.ua/get-user-certificate/TbxZWeNK_tyGbnYDnLQ3","Завантажити сертифікат")</f>
        <v>Завантажити сертифікат</v>
      </c>
    </row>
    <row r="4210" spans="1:6" x14ac:dyDescent="0.3">
      <c r="A4210" s="2">
        <v>4209</v>
      </c>
      <c r="B4210" t="s">
        <v>8954</v>
      </c>
      <c r="C4210" t="s">
        <v>8909</v>
      </c>
      <c r="D4210" t="s">
        <v>8910</v>
      </c>
      <c r="E4210" t="s">
        <v>8919</v>
      </c>
      <c r="F4210" t="str">
        <f>HYPERLINK("https://talan.bank.gov.ua/get-user-certificate/TbxZWL8pFk993yRBXp_W","Завантажити сертифікат")</f>
        <v>Завантажити сертифікат</v>
      </c>
    </row>
    <row r="4211" spans="1:6" x14ac:dyDescent="0.3">
      <c r="A4211" s="2">
        <v>4210</v>
      </c>
      <c r="B4211" t="s">
        <v>8955</v>
      </c>
      <c r="C4211" t="s">
        <v>8909</v>
      </c>
      <c r="D4211" t="s">
        <v>8910</v>
      </c>
      <c r="E4211" t="s">
        <v>8920</v>
      </c>
      <c r="F4211" t="str">
        <f>HYPERLINK("https://talan.bank.gov.ua/get-user-certificate/TbxZW_fjVx-81PuelNge","Завантажити сертифікат")</f>
        <v>Завантажити сертифікат</v>
      </c>
    </row>
    <row r="4212" spans="1:6" x14ac:dyDescent="0.3">
      <c r="A4212" s="2">
        <v>4211</v>
      </c>
      <c r="B4212" t="s">
        <v>8956</v>
      </c>
      <c r="C4212" t="s">
        <v>8909</v>
      </c>
      <c r="D4212" t="s">
        <v>8910</v>
      </c>
      <c r="E4212" t="s">
        <v>8921</v>
      </c>
      <c r="F4212" t="str">
        <f>HYPERLINK("https://talan.bank.gov.ua/get-user-certificate/TbxZW7SwDX2Khv4WceVR","Завантажити сертифікат")</f>
        <v>Завантажити сертифікат</v>
      </c>
    </row>
    <row r="4213" spans="1:6" x14ac:dyDescent="0.3">
      <c r="A4213" s="2">
        <v>4212</v>
      </c>
      <c r="B4213" t="s">
        <v>8957</v>
      </c>
      <c r="C4213" t="s">
        <v>8909</v>
      </c>
      <c r="D4213" t="s">
        <v>8910</v>
      </c>
      <c r="E4213" t="s">
        <v>8922</v>
      </c>
      <c r="F4213" t="str">
        <f>HYPERLINK("https://talan.bank.gov.ua/get-user-certificate/TbxZWFH0HtjuRtZxQiM5","Завантажити сертифікат")</f>
        <v>Завантажити сертифікат</v>
      </c>
    </row>
    <row r="4214" spans="1:6" x14ac:dyDescent="0.3">
      <c r="A4214" s="2">
        <v>4213</v>
      </c>
      <c r="B4214" t="s">
        <v>8958</v>
      </c>
      <c r="C4214" t="s">
        <v>8909</v>
      </c>
      <c r="D4214" t="s">
        <v>8910</v>
      </c>
      <c r="E4214" t="s">
        <v>8923</v>
      </c>
      <c r="F4214" t="str">
        <f>HYPERLINK("https://talan.bank.gov.ua/get-user-certificate/TbxZWdVDEEcMEzFDtuuq","Завантажити сертифікат")</f>
        <v>Завантажити сертифікат</v>
      </c>
    </row>
    <row r="4215" spans="1:6" x14ac:dyDescent="0.3">
      <c r="A4215" s="2">
        <v>4214</v>
      </c>
      <c r="B4215" t="s">
        <v>8959</v>
      </c>
      <c r="C4215" t="s">
        <v>8909</v>
      </c>
      <c r="D4215" t="s">
        <v>8910</v>
      </c>
      <c r="E4215" t="s">
        <v>8924</v>
      </c>
      <c r="F4215" t="str">
        <f>HYPERLINK("https://talan.bank.gov.ua/get-user-certificate/TbxZWIN3FtosCKSnxiHA","Завантажити сертифікат")</f>
        <v>Завантажити сертифікат</v>
      </c>
    </row>
    <row r="4216" spans="1:6" x14ac:dyDescent="0.3">
      <c r="A4216" s="2">
        <v>4215</v>
      </c>
      <c r="B4216" t="s">
        <v>8960</v>
      </c>
      <c r="C4216" t="s">
        <v>8909</v>
      </c>
      <c r="D4216" t="s">
        <v>8910</v>
      </c>
      <c r="E4216" t="s">
        <v>8925</v>
      </c>
      <c r="F4216" t="str">
        <f>HYPERLINK("https://talan.bank.gov.ua/get-user-certificate/TbxZWxxsuE1AagEvUIJ8","Завантажити сертифікат")</f>
        <v>Завантажити сертифікат</v>
      </c>
    </row>
    <row r="4217" spans="1:6" x14ac:dyDescent="0.3">
      <c r="A4217" s="2">
        <v>4216</v>
      </c>
      <c r="B4217" t="s">
        <v>8961</v>
      </c>
      <c r="C4217" t="s">
        <v>8962</v>
      </c>
      <c r="D4217" t="s">
        <v>8963</v>
      </c>
      <c r="E4217" t="s">
        <v>8964</v>
      </c>
      <c r="F4217" t="str">
        <f>HYPERLINK("https://talan.bank.gov.ua/get-user-certificate/lHoZP9CB3JOmNRM5jUw-","Завантажити сертифікат")</f>
        <v>Завантажити сертифікат</v>
      </c>
    </row>
    <row r="4218" spans="1:6" x14ac:dyDescent="0.3">
      <c r="A4218" s="2">
        <v>4217</v>
      </c>
      <c r="B4218" t="s">
        <v>8965</v>
      </c>
      <c r="C4218" t="s">
        <v>8962</v>
      </c>
      <c r="D4218" t="s">
        <v>8963</v>
      </c>
      <c r="E4218" t="s">
        <v>8966</v>
      </c>
      <c r="F4218" t="str">
        <f>HYPERLINK("https://talan.bank.gov.ua/get-user-certificate/lHoZPMnL1-VrfJuu97Ee","Завантажити сертифікат")</f>
        <v>Завантажити сертифікат</v>
      </c>
    </row>
    <row r="4219" spans="1:6" x14ac:dyDescent="0.3">
      <c r="A4219" s="2">
        <v>4218</v>
      </c>
      <c r="B4219" t="s">
        <v>8967</v>
      </c>
      <c r="C4219" t="s">
        <v>8962</v>
      </c>
      <c r="D4219" t="s">
        <v>8963</v>
      </c>
      <c r="E4219" t="s">
        <v>8968</v>
      </c>
      <c r="F4219" t="str">
        <f>HYPERLINK("https://talan.bank.gov.ua/get-user-certificate/lHoZPl4CBoS4wUPKYsJK","Завантажити сертифікат")</f>
        <v>Завантажити сертифікат</v>
      </c>
    </row>
    <row r="4220" spans="1:6" x14ac:dyDescent="0.3">
      <c r="A4220" s="2">
        <v>4219</v>
      </c>
      <c r="B4220" t="s">
        <v>8969</v>
      </c>
      <c r="C4220" t="s">
        <v>8962</v>
      </c>
      <c r="D4220" t="s">
        <v>8963</v>
      </c>
      <c r="E4220" t="s">
        <v>8970</v>
      </c>
      <c r="F4220" t="str">
        <f>HYPERLINK("https://talan.bank.gov.ua/get-user-certificate/lHoZPCXuQKJGr1JkUn2N","Завантажити сертифікат")</f>
        <v>Завантажити сертифікат</v>
      </c>
    </row>
    <row r="4221" spans="1:6" x14ac:dyDescent="0.3">
      <c r="A4221" s="2">
        <v>4220</v>
      </c>
      <c r="B4221" t="s">
        <v>8971</v>
      </c>
      <c r="C4221" t="s">
        <v>8972</v>
      </c>
      <c r="D4221" t="s">
        <v>8973</v>
      </c>
      <c r="E4221" t="s">
        <v>8974</v>
      </c>
      <c r="F4221" t="str">
        <f>HYPERLINK("https://talan.bank.gov.ua/get-user-certificate/lHoZPLgZhwBKbi5tCh3H","Завантажити сертифікат")</f>
        <v>Завантажити сертифікат</v>
      </c>
    </row>
    <row r="4222" spans="1:6" x14ac:dyDescent="0.3">
      <c r="A4222" s="2">
        <v>4221</v>
      </c>
      <c r="B4222" t="s">
        <v>8975</v>
      </c>
      <c r="C4222" t="s">
        <v>8972</v>
      </c>
      <c r="D4222" t="s">
        <v>8973</v>
      </c>
      <c r="E4222" t="s">
        <v>8976</v>
      </c>
      <c r="F4222" t="str">
        <f>HYPERLINK("https://talan.bank.gov.ua/get-user-certificate/lHoZPFzkEi9fxhYKYV0w","Завантажити сертифікат")</f>
        <v>Завантажити сертифікат</v>
      </c>
    </row>
    <row r="4223" spans="1:6" x14ac:dyDescent="0.3">
      <c r="A4223" s="2">
        <v>4222</v>
      </c>
      <c r="B4223" t="s">
        <v>8977</v>
      </c>
      <c r="C4223" t="s">
        <v>8972</v>
      </c>
      <c r="D4223" t="s">
        <v>8973</v>
      </c>
      <c r="E4223" t="s">
        <v>8978</v>
      </c>
      <c r="F4223" t="str">
        <f>HYPERLINK("https://talan.bank.gov.ua/get-user-certificate/lHoZPCJ_2BWPKQM5yXQA","Завантажити сертифікат")</f>
        <v>Завантажити сертифікат</v>
      </c>
    </row>
    <row r="4224" spans="1:6" x14ac:dyDescent="0.3">
      <c r="A4224" s="2">
        <v>4223</v>
      </c>
      <c r="B4224" t="s">
        <v>8979</v>
      </c>
      <c r="C4224" t="s">
        <v>8972</v>
      </c>
      <c r="D4224" t="s">
        <v>8973</v>
      </c>
      <c r="E4224" t="s">
        <v>8980</v>
      </c>
      <c r="F4224" t="str">
        <f>HYPERLINK("https://talan.bank.gov.ua/get-user-certificate/lHoZPmd2h-ee25A9r3es","Завантажити сертифікат")</f>
        <v>Завантажити сертифікат</v>
      </c>
    </row>
    <row r="4225" spans="1:6" x14ac:dyDescent="0.3">
      <c r="A4225" s="2">
        <v>4224</v>
      </c>
      <c r="B4225" t="s">
        <v>8981</v>
      </c>
      <c r="C4225" t="s">
        <v>8972</v>
      </c>
      <c r="D4225" t="s">
        <v>8973</v>
      </c>
      <c r="E4225" t="s">
        <v>8982</v>
      </c>
      <c r="F4225" t="str">
        <f>HYPERLINK("https://talan.bank.gov.ua/get-user-certificate/lHoZPkWMd9grxh4UxXe9","Завантажити сертифікат")</f>
        <v>Завантажити сертифікат</v>
      </c>
    </row>
    <row r="4226" spans="1:6" x14ac:dyDescent="0.3">
      <c r="A4226" s="2">
        <v>4225</v>
      </c>
      <c r="B4226" t="s">
        <v>8983</v>
      </c>
      <c r="C4226" t="s">
        <v>8972</v>
      </c>
      <c r="D4226" t="s">
        <v>8973</v>
      </c>
      <c r="E4226" t="s">
        <v>8984</v>
      </c>
      <c r="F4226" t="str">
        <f>HYPERLINK("https://talan.bank.gov.ua/get-user-certificate/lHoZPd1vuZ0-qe_ECh_o","Завантажити сертифікат")</f>
        <v>Завантажити сертифікат</v>
      </c>
    </row>
    <row r="4227" spans="1:6" x14ac:dyDescent="0.3">
      <c r="A4227" s="2">
        <v>4226</v>
      </c>
      <c r="B4227" t="s">
        <v>8985</v>
      </c>
      <c r="C4227" t="s">
        <v>8972</v>
      </c>
      <c r="D4227" t="s">
        <v>8973</v>
      </c>
      <c r="E4227" t="s">
        <v>8986</v>
      </c>
      <c r="F4227" t="str">
        <f>HYPERLINK("https://talan.bank.gov.ua/get-user-certificate/lHoZPUKIDLSGpVH2L27l","Завантажити сертифікат")</f>
        <v>Завантажити сертифікат</v>
      </c>
    </row>
    <row r="4228" spans="1:6" x14ac:dyDescent="0.3">
      <c r="A4228" s="2">
        <v>4227</v>
      </c>
      <c r="B4228" s="9" t="s">
        <v>8988</v>
      </c>
      <c r="C4228" t="s">
        <v>254</v>
      </c>
      <c r="D4228" t="s">
        <v>9024</v>
      </c>
      <c r="E4228" t="s">
        <v>9027</v>
      </c>
      <c r="F4228" t="str">
        <f>HYPERLINK("https://talan.bank.gov.ua/get-user-certificate/CYWPHNu5in0-z_QpNjky","Завантажити сертифікат")</f>
        <v>Завантажити сертифікат</v>
      </c>
    </row>
    <row r="4229" spans="1:6" x14ac:dyDescent="0.3">
      <c r="A4229" s="2">
        <v>4228</v>
      </c>
      <c r="B4229" s="9" t="s">
        <v>8989</v>
      </c>
      <c r="C4229" t="s">
        <v>254</v>
      </c>
      <c r="D4229" t="s">
        <v>9024</v>
      </c>
      <c r="E4229" t="s">
        <v>9028</v>
      </c>
      <c r="F4229" t="str">
        <f>HYPERLINK("https://talan.bank.gov.ua/get-user-certificate/CYWPHzK_tdN6ILOVp24_","Завантажити сертифікат")</f>
        <v>Завантажити сертифікат</v>
      </c>
    </row>
    <row r="4230" spans="1:6" x14ac:dyDescent="0.3">
      <c r="A4230" s="2">
        <v>4229</v>
      </c>
      <c r="B4230" s="9" t="s">
        <v>8990</v>
      </c>
      <c r="C4230" t="s">
        <v>254</v>
      </c>
      <c r="D4230" t="s">
        <v>9024</v>
      </c>
      <c r="E4230" t="s">
        <v>9029</v>
      </c>
      <c r="F4230" t="str">
        <f>HYPERLINK("https://talan.bank.gov.ua/get-user-certificate/CYWPHXcbJ4lPM299w6c4","Завантажити сертифікат")</f>
        <v>Завантажити сертифікат</v>
      </c>
    </row>
    <row r="4231" spans="1:6" x14ac:dyDescent="0.3">
      <c r="A4231" s="2">
        <v>4230</v>
      </c>
      <c r="B4231" s="9" t="s">
        <v>8991</v>
      </c>
      <c r="C4231" t="s">
        <v>254</v>
      </c>
      <c r="D4231" t="s">
        <v>9024</v>
      </c>
      <c r="E4231" t="s">
        <v>9030</v>
      </c>
      <c r="F4231" t="str">
        <f>HYPERLINK("https://talan.bank.gov.ua/get-user-certificate/CYWPH3Tai924Q99GKd9I","Завантажити сертифікат")</f>
        <v>Завантажити сертифікат</v>
      </c>
    </row>
    <row r="4232" spans="1:6" x14ac:dyDescent="0.3">
      <c r="A4232" s="2">
        <v>4231</v>
      </c>
      <c r="B4232" s="9" t="s">
        <v>8992</v>
      </c>
      <c r="C4232" t="s">
        <v>254</v>
      </c>
      <c r="D4232" t="s">
        <v>9024</v>
      </c>
      <c r="E4232" t="s">
        <v>9031</v>
      </c>
      <c r="F4232" t="str">
        <f>HYPERLINK("https://talan.bank.gov.ua/get-user-certificate/CYWPHPookmECYdzDULls","Завантажити сертифікат")</f>
        <v>Завантажити сертифікат</v>
      </c>
    </row>
    <row r="4233" spans="1:6" x14ac:dyDescent="0.3">
      <c r="A4233" s="2">
        <v>4232</v>
      </c>
      <c r="B4233" s="9" t="s">
        <v>8993</v>
      </c>
      <c r="C4233" t="s">
        <v>254</v>
      </c>
      <c r="D4233" t="s">
        <v>9024</v>
      </c>
      <c r="E4233" t="s">
        <v>9032</v>
      </c>
      <c r="F4233" t="str">
        <f>HYPERLINK("https://talan.bank.gov.ua/get-user-certificate/CYWPHYrV66nPwg-AiPPm","Завантажити сертифікат")</f>
        <v>Завантажити сертифікат</v>
      </c>
    </row>
    <row r="4234" spans="1:6" x14ac:dyDescent="0.3">
      <c r="A4234" s="2">
        <v>4233</v>
      </c>
      <c r="B4234" s="9" t="s">
        <v>8994</v>
      </c>
      <c r="C4234" t="s">
        <v>254</v>
      </c>
      <c r="D4234" t="s">
        <v>9024</v>
      </c>
      <c r="E4234" t="s">
        <v>9033</v>
      </c>
      <c r="F4234" t="str">
        <f>HYPERLINK("https://talan.bank.gov.ua/get-user-certificate/CYWPHm6csjQXZ2v2jFWS","Завантажити сертифікат")</f>
        <v>Завантажити сертифікат</v>
      </c>
    </row>
    <row r="4235" spans="1:6" x14ac:dyDescent="0.3">
      <c r="A4235" s="2">
        <v>4234</v>
      </c>
      <c r="B4235" s="9" t="s">
        <v>8995</v>
      </c>
      <c r="C4235" t="s">
        <v>254</v>
      </c>
      <c r="D4235" t="s">
        <v>9024</v>
      </c>
      <c r="E4235" t="s">
        <v>9034</v>
      </c>
      <c r="F4235" t="str">
        <f>HYPERLINK("https://talan.bank.gov.ua/get-user-certificate/CYWPH3tdXMaSioEOW8j1","Завантажити сертифікат")</f>
        <v>Завантажити сертифікат</v>
      </c>
    </row>
    <row r="4236" spans="1:6" x14ac:dyDescent="0.3">
      <c r="A4236" s="2">
        <v>4235</v>
      </c>
      <c r="B4236" s="9" t="s">
        <v>8996</v>
      </c>
      <c r="C4236" t="s">
        <v>254</v>
      </c>
      <c r="D4236" t="s">
        <v>9024</v>
      </c>
      <c r="E4236" t="s">
        <v>9035</v>
      </c>
      <c r="F4236" t="str">
        <f>HYPERLINK("https://talan.bank.gov.ua/get-user-certificate/CYWPHvS6bgmRMH5BjFR4","Завантажити сертифікат")</f>
        <v>Завантажити сертифікат</v>
      </c>
    </row>
    <row r="4237" spans="1:6" x14ac:dyDescent="0.3">
      <c r="A4237" s="2">
        <v>4236</v>
      </c>
      <c r="B4237" s="9" t="s">
        <v>8997</v>
      </c>
      <c r="C4237" t="s">
        <v>254</v>
      </c>
      <c r="D4237" t="s">
        <v>9024</v>
      </c>
      <c r="E4237" t="s">
        <v>9036</v>
      </c>
      <c r="F4237" t="str">
        <f>HYPERLINK("https://talan.bank.gov.ua/get-user-certificate/CYWPHlOAVDs1GNUFs6zk","Завантажити сертифікат")</f>
        <v>Завантажити сертифікат</v>
      </c>
    </row>
    <row r="4238" spans="1:6" x14ac:dyDescent="0.3">
      <c r="A4238" s="2">
        <v>4237</v>
      </c>
      <c r="B4238" s="9" t="s">
        <v>8998</v>
      </c>
      <c r="C4238" t="s">
        <v>254</v>
      </c>
      <c r="D4238" t="s">
        <v>9024</v>
      </c>
      <c r="E4238" t="s">
        <v>9037</v>
      </c>
      <c r="F4238" t="str">
        <f>HYPERLINK("https://talan.bank.gov.ua/get-user-certificate/CYWPHx8gm97GWqKkh6bl","Завантажити сертифікат")</f>
        <v>Завантажити сертифікат</v>
      </c>
    </row>
    <row r="4239" spans="1:6" x14ac:dyDescent="0.3">
      <c r="A4239" s="2">
        <v>4238</v>
      </c>
      <c r="B4239" s="9" t="s">
        <v>8999</v>
      </c>
      <c r="C4239" t="s">
        <v>254</v>
      </c>
      <c r="D4239" t="s">
        <v>9024</v>
      </c>
      <c r="E4239" t="s">
        <v>9038</v>
      </c>
      <c r="F4239" t="str">
        <f>HYPERLINK("https://talan.bank.gov.ua/get-user-certificate/CYWPHJYaDOOZdnkMd6vo","Завантажити сертифікат")</f>
        <v>Завантажити сертифікат</v>
      </c>
    </row>
    <row r="4240" spans="1:6" x14ac:dyDescent="0.3">
      <c r="A4240" s="2">
        <v>4239</v>
      </c>
      <c r="B4240" s="9" t="s">
        <v>9000</v>
      </c>
      <c r="C4240" t="s">
        <v>254</v>
      </c>
      <c r="D4240" t="s">
        <v>9024</v>
      </c>
      <c r="E4240" t="s">
        <v>9039</v>
      </c>
      <c r="F4240" t="str">
        <f>HYPERLINK("https://talan.bank.gov.ua/get-user-certificate/CYWPHtC07AlXiQMxTi8g","Завантажити сертифікат")</f>
        <v>Завантажити сертифікат</v>
      </c>
    </row>
    <row r="4241" spans="1:6" x14ac:dyDescent="0.3">
      <c r="A4241" s="2">
        <v>4240</v>
      </c>
      <c r="B4241" s="9" t="s">
        <v>9001</v>
      </c>
      <c r="C4241" t="s">
        <v>254</v>
      </c>
      <c r="D4241" t="s">
        <v>9024</v>
      </c>
      <c r="E4241" t="s">
        <v>9040</v>
      </c>
      <c r="F4241" t="str">
        <f>HYPERLINK("https://talan.bank.gov.ua/get-user-certificate/CYWPHKJJACOTOqonKVBD","Завантажити сертифікат")</f>
        <v>Завантажити сертифікат</v>
      </c>
    </row>
    <row r="4242" spans="1:6" x14ac:dyDescent="0.3">
      <c r="A4242" s="2">
        <v>4241</v>
      </c>
      <c r="B4242" s="9" t="s">
        <v>9002</v>
      </c>
      <c r="C4242" t="s">
        <v>9022</v>
      </c>
      <c r="D4242" t="s">
        <v>9025</v>
      </c>
      <c r="E4242" t="s">
        <v>9041</v>
      </c>
      <c r="F4242" t="str">
        <f>HYPERLINK("https://talan.bank.gov.ua/get-user-certificate/CYWPHQYTVtqNtCQYrCwz","Завантажити сертифікат")</f>
        <v>Завантажити сертифікат</v>
      </c>
    </row>
    <row r="4243" spans="1:6" x14ac:dyDescent="0.3">
      <c r="A4243" s="2">
        <v>4242</v>
      </c>
      <c r="B4243" s="9" t="s">
        <v>9003</v>
      </c>
      <c r="C4243" t="s">
        <v>9022</v>
      </c>
      <c r="D4243" t="s">
        <v>9025</v>
      </c>
      <c r="E4243" t="s">
        <v>9042</v>
      </c>
      <c r="F4243" t="str">
        <f>HYPERLINK("https://talan.bank.gov.ua/get-user-certificate/CYWPHoNwDJeO9WV7asNE","Завантажити сертифікат")</f>
        <v>Завантажити сертифікат</v>
      </c>
    </row>
    <row r="4244" spans="1:6" x14ac:dyDescent="0.3">
      <c r="A4244" s="2">
        <v>4243</v>
      </c>
      <c r="B4244" s="9" t="s">
        <v>9004</v>
      </c>
      <c r="C4244" t="s">
        <v>9022</v>
      </c>
      <c r="D4244" t="s">
        <v>9025</v>
      </c>
      <c r="E4244" t="s">
        <v>9043</v>
      </c>
      <c r="F4244" t="str">
        <f>HYPERLINK("https://talan.bank.gov.ua/get-user-certificate/CYWPHaVJefSCMqyRRWCw","Завантажити сертифікат")</f>
        <v>Завантажити сертифікат</v>
      </c>
    </row>
    <row r="4245" spans="1:6" x14ac:dyDescent="0.3">
      <c r="A4245" s="2">
        <v>4244</v>
      </c>
      <c r="B4245" s="9" t="s">
        <v>9005</v>
      </c>
      <c r="C4245" t="s">
        <v>9022</v>
      </c>
      <c r="D4245" t="s">
        <v>9025</v>
      </c>
      <c r="E4245" t="s">
        <v>9044</v>
      </c>
      <c r="F4245" t="str">
        <f>HYPERLINK("https://talan.bank.gov.ua/get-user-certificate/CYWPHBnutuKbXhX9FjeA","Завантажити сертифікат")</f>
        <v>Завантажити сертифікат</v>
      </c>
    </row>
    <row r="4246" spans="1:6" x14ac:dyDescent="0.3">
      <c r="A4246" s="2">
        <v>4245</v>
      </c>
      <c r="B4246" s="9" t="s">
        <v>9006</v>
      </c>
      <c r="C4246" t="s">
        <v>9022</v>
      </c>
      <c r="D4246" t="s">
        <v>9025</v>
      </c>
      <c r="E4246" t="s">
        <v>9045</v>
      </c>
      <c r="F4246" t="str">
        <f>HYPERLINK("https://talan.bank.gov.ua/get-user-certificate/CYWPH1ggTYtTowbWoNna","Завантажити сертифікат")</f>
        <v>Завантажити сертифікат</v>
      </c>
    </row>
    <row r="4247" spans="1:6" x14ac:dyDescent="0.3">
      <c r="A4247" s="2">
        <v>4246</v>
      </c>
      <c r="B4247" s="9" t="s">
        <v>9007</v>
      </c>
      <c r="C4247" t="s">
        <v>9022</v>
      </c>
      <c r="D4247" t="s">
        <v>9025</v>
      </c>
      <c r="E4247" t="s">
        <v>9046</v>
      </c>
      <c r="F4247" t="str">
        <f>HYPERLINK("https://talan.bank.gov.ua/get-user-certificate/CYWPHlAg8rc3rCsmhLMD","Завантажити сертифікат")</f>
        <v>Завантажити сертифікат</v>
      </c>
    </row>
    <row r="4248" spans="1:6" x14ac:dyDescent="0.3">
      <c r="A4248" s="2">
        <v>4247</v>
      </c>
      <c r="B4248" s="9" t="s">
        <v>9008</v>
      </c>
      <c r="C4248" t="s">
        <v>9022</v>
      </c>
      <c r="D4248" t="s">
        <v>9025</v>
      </c>
      <c r="E4248" t="s">
        <v>9047</v>
      </c>
      <c r="F4248" t="str">
        <f>HYPERLINK("https://talan.bank.gov.ua/get-user-certificate/CYWPHFph0TB94nf4vS6-","Завантажити сертифікат")</f>
        <v>Завантажити сертифікат</v>
      </c>
    </row>
    <row r="4249" spans="1:6" x14ac:dyDescent="0.3">
      <c r="A4249" s="2">
        <v>4248</v>
      </c>
      <c r="B4249" s="9" t="s">
        <v>9009</v>
      </c>
      <c r="C4249" t="s">
        <v>9022</v>
      </c>
      <c r="D4249" t="s">
        <v>9025</v>
      </c>
      <c r="E4249" t="s">
        <v>9048</v>
      </c>
      <c r="F4249" t="str">
        <f>HYPERLINK("https://talan.bank.gov.ua/get-user-certificate/CYWPHMT0VF1yP0VY_gLE","Завантажити сертифікат")</f>
        <v>Завантажити сертифікат</v>
      </c>
    </row>
    <row r="4250" spans="1:6" x14ac:dyDescent="0.3">
      <c r="A4250" s="2">
        <v>4249</v>
      </c>
      <c r="B4250" s="9" t="s">
        <v>9010</v>
      </c>
      <c r="C4250" t="s">
        <v>9022</v>
      </c>
      <c r="D4250" t="s">
        <v>9025</v>
      </c>
      <c r="E4250" t="s">
        <v>9049</v>
      </c>
      <c r="F4250" t="str">
        <f>HYPERLINK("https://talan.bank.gov.ua/get-user-certificate/CYWPHvBKzdUVpgr_kf2A","Завантажити сертифікат")</f>
        <v>Завантажити сертифікат</v>
      </c>
    </row>
    <row r="4251" spans="1:6" x14ac:dyDescent="0.3">
      <c r="A4251" s="2">
        <v>4250</v>
      </c>
      <c r="B4251" s="9" t="s">
        <v>9011</v>
      </c>
      <c r="C4251" t="s">
        <v>9022</v>
      </c>
      <c r="D4251" t="s">
        <v>9025</v>
      </c>
      <c r="E4251" t="s">
        <v>9050</v>
      </c>
      <c r="F4251" t="str">
        <f>HYPERLINK("https://talan.bank.gov.ua/get-user-certificate/CYWPHa-0Twj7gc1j-ISy","Завантажити сертифікат")</f>
        <v>Завантажити сертифікат</v>
      </c>
    </row>
    <row r="4252" spans="1:6" x14ac:dyDescent="0.3">
      <c r="A4252" s="2">
        <v>4251</v>
      </c>
      <c r="B4252" s="9" t="s">
        <v>9012</v>
      </c>
      <c r="C4252" t="s">
        <v>9022</v>
      </c>
      <c r="D4252" t="s">
        <v>9025</v>
      </c>
      <c r="E4252" t="s">
        <v>9051</v>
      </c>
      <c r="F4252" t="str">
        <f>HYPERLINK("https://talan.bank.gov.ua/get-user-certificate/CYWPHjF0eW7STbe9wHcX","Завантажити сертифікат")</f>
        <v>Завантажити сертифікат</v>
      </c>
    </row>
    <row r="4253" spans="1:6" x14ac:dyDescent="0.3">
      <c r="A4253" s="2">
        <v>4252</v>
      </c>
      <c r="B4253" s="9" t="s">
        <v>9013</v>
      </c>
      <c r="C4253" t="s">
        <v>9022</v>
      </c>
      <c r="D4253" t="s">
        <v>9025</v>
      </c>
      <c r="E4253" t="s">
        <v>9052</v>
      </c>
      <c r="F4253" t="str">
        <f>HYPERLINK("https://talan.bank.gov.ua/get-user-certificate/CYWPHjZxuVn3d-cMZeW2","Завантажити сертифікат")</f>
        <v>Завантажити сертифікат</v>
      </c>
    </row>
    <row r="4254" spans="1:6" x14ac:dyDescent="0.3">
      <c r="A4254" s="2">
        <v>4253</v>
      </c>
      <c r="B4254" s="9" t="s">
        <v>9014</v>
      </c>
      <c r="C4254" t="s">
        <v>9022</v>
      </c>
      <c r="D4254" t="s">
        <v>9025</v>
      </c>
      <c r="E4254" t="s">
        <v>9053</v>
      </c>
      <c r="F4254" t="str">
        <f>HYPERLINK("https://talan.bank.gov.ua/get-user-certificate/CYWPHVgZeL8iQsAzpN42","Завантажити сертифікат")</f>
        <v>Завантажити сертифікат</v>
      </c>
    </row>
    <row r="4255" spans="1:6" x14ac:dyDescent="0.3">
      <c r="A4255" s="2">
        <v>4254</v>
      </c>
      <c r="B4255" s="9" t="s">
        <v>9015</v>
      </c>
      <c r="C4255" t="s">
        <v>9022</v>
      </c>
      <c r="D4255" t="s">
        <v>9025</v>
      </c>
      <c r="E4255" t="s">
        <v>9054</v>
      </c>
      <c r="F4255" t="str">
        <f>HYPERLINK("https://talan.bank.gov.ua/get-user-certificate/CYWPH6-zGog83XdXZEex","Завантажити сертифікат")</f>
        <v>Завантажити сертифікат</v>
      </c>
    </row>
    <row r="4256" spans="1:6" x14ac:dyDescent="0.3">
      <c r="A4256" s="2">
        <v>4255</v>
      </c>
      <c r="B4256" s="9" t="s">
        <v>9016</v>
      </c>
      <c r="C4256" t="s">
        <v>9023</v>
      </c>
      <c r="D4256" t="s">
        <v>9026</v>
      </c>
      <c r="E4256" t="s">
        <v>9055</v>
      </c>
      <c r="F4256" t="str">
        <f>HYPERLINK("https://talan.bank.gov.ua/get-user-certificate/CYWPHQn1NstAa6c4nk7I","Завантажити сертифікат")</f>
        <v>Завантажити сертифікат</v>
      </c>
    </row>
    <row r="4257" spans="1:6" x14ac:dyDescent="0.3">
      <c r="A4257" s="2">
        <v>4256</v>
      </c>
      <c r="B4257" s="9" t="s">
        <v>9017</v>
      </c>
      <c r="C4257" t="s">
        <v>9023</v>
      </c>
      <c r="D4257" t="s">
        <v>9026</v>
      </c>
      <c r="E4257" t="s">
        <v>9056</v>
      </c>
      <c r="F4257" t="str">
        <f>HYPERLINK("https://talan.bank.gov.ua/get-user-certificate/CYWPHen7ZyDus4uzacea","Завантажити сертифікат")</f>
        <v>Завантажити сертифікат</v>
      </c>
    </row>
    <row r="4258" spans="1:6" x14ac:dyDescent="0.3">
      <c r="A4258" s="2">
        <v>4257</v>
      </c>
      <c r="B4258" s="9" t="s">
        <v>9018</v>
      </c>
      <c r="C4258" t="s">
        <v>9023</v>
      </c>
      <c r="D4258" t="s">
        <v>9026</v>
      </c>
      <c r="E4258" t="s">
        <v>9057</v>
      </c>
      <c r="F4258" t="str">
        <f>HYPERLINK("https://talan.bank.gov.ua/get-user-certificate/CYWPHANKAUYfb3Zp1NCK","Завантажити сертифікат")</f>
        <v>Завантажити сертифікат</v>
      </c>
    </row>
    <row r="4259" spans="1:6" x14ac:dyDescent="0.3">
      <c r="A4259" s="2">
        <v>4258</v>
      </c>
      <c r="B4259" s="9" t="s">
        <v>9019</v>
      </c>
      <c r="C4259" t="s">
        <v>9023</v>
      </c>
      <c r="D4259" t="s">
        <v>9026</v>
      </c>
      <c r="E4259" t="s">
        <v>9058</v>
      </c>
      <c r="F4259" t="str">
        <f>HYPERLINK("https://talan.bank.gov.ua/get-user-certificate/CYWPHyMSD4k_pL_H71e8","Завантажити сертифікат")</f>
        <v>Завантажити сертифікат</v>
      </c>
    </row>
    <row r="4260" spans="1:6" x14ac:dyDescent="0.3">
      <c r="A4260" s="2">
        <v>4259</v>
      </c>
      <c r="B4260" s="9" t="s">
        <v>9020</v>
      </c>
      <c r="C4260" t="s">
        <v>9023</v>
      </c>
      <c r="D4260" t="s">
        <v>9026</v>
      </c>
      <c r="E4260" t="s">
        <v>9059</v>
      </c>
      <c r="F4260" t="str">
        <f>HYPERLINK("https://talan.bank.gov.ua/get-user-certificate/CYWPH5cKM7Y0BoBWItev","Завантажити сертифікат")</f>
        <v>Завантажити сертифікат</v>
      </c>
    </row>
    <row r="4261" spans="1:6" x14ac:dyDescent="0.3">
      <c r="A4261" s="2">
        <v>4260</v>
      </c>
      <c r="B4261" s="9" t="s">
        <v>9021</v>
      </c>
      <c r="C4261" t="s">
        <v>9023</v>
      </c>
      <c r="D4261" t="s">
        <v>9026</v>
      </c>
      <c r="E4261" t="s">
        <v>9060</v>
      </c>
      <c r="F4261" t="str">
        <f>HYPERLINK("https://talan.bank.gov.ua/get-user-certificate/CYWPHWQVUmdg2d8VKXyn","Завантажити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F2" r:id="rId1" tooltip="Завантажити сертифікат" display="Завантажити сертифікат"/>
    <hyperlink ref="F3" r:id="rId2" tooltip="Завантажити сертифікат" display="Завантажити сертифікат"/>
    <hyperlink ref="F4" r:id="rId3" tooltip="Завантажити сертифікат" display="Завантажити сертифікат"/>
    <hyperlink ref="F5" r:id="rId4" tooltip="Завантажити сертифікат" display="Завантажити сертифікат"/>
    <hyperlink ref="F6" r:id="rId5" tooltip="Завантажити сертифікат" display="Завантажити сертифікат"/>
    <hyperlink ref="F7" r:id="rId6" tooltip="Завантажити сертифікат" display="Завантажити сертифікат"/>
    <hyperlink ref="F8" r:id="rId7" tooltip="Завантажити сертифікат" display="Завантажити сертифікат"/>
    <hyperlink ref="F9" r:id="rId8" tooltip="Завантажити сертифікат" display="Завантажити сертифікат"/>
    <hyperlink ref="F10" r:id="rId9" tooltip="Завантажити сертифікат" display="Завантажити сертифікат"/>
    <hyperlink ref="F11" r:id="rId10" tooltip="Завантажити сертифікат" display="Завантажити сертифікат"/>
    <hyperlink ref="F12" r:id="rId11" tooltip="Завантажити сертифікат" display="Завантажити сертифікат"/>
    <hyperlink ref="F13" r:id="rId12" tooltip="Завантажити сертифікат" display="Завантажити сертифікат"/>
    <hyperlink ref="F14" r:id="rId13" tooltip="Завантажити сертифікат" display="Завантажити сертифікат"/>
    <hyperlink ref="F15" r:id="rId14" tooltip="Завантажити сертифікат" display="Завантажити сертифікат"/>
    <hyperlink ref="F16" r:id="rId15" tooltip="Завантажити сертифікат" display="Завантажити сертифікат"/>
    <hyperlink ref="F17" r:id="rId16" tooltip="Завантажити сертифікат" display="Завантажити сертифікат"/>
    <hyperlink ref="F18" r:id="rId17" tooltip="Завантажити сертифікат" display="Завантажити сертифікат"/>
    <hyperlink ref="F19" r:id="rId18" tooltip="Завантажити сертифікат" display="Завантажити сертифікат"/>
    <hyperlink ref="F20" r:id="rId19" tooltip="Завантажити сертифікат" display="Завантажити сертифікат"/>
    <hyperlink ref="F21" r:id="rId20" tooltip="Завантажити сертифікат" display="Завантажити сертифікат"/>
    <hyperlink ref="F22" r:id="rId21" tooltip="Завантажити сертифікат" display="Завантажити сертифікат"/>
    <hyperlink ref="F23" r:id="rId22" tooltip="Завантажити сертифікат" display="Завантажити сертифікат"/>
    <hyperlink ref="F24" r:id="rId23" tooltip="Завантажити сертифікат" display="Завантажити сертифікат"/>
    <hyperlink ref="F25" r:id="rId24" tooltip="Завантажити сертифікат" display="Завантажити сертифікат"/>
    <hyperlink ref="F26" r:id="rId25" tooltip="Завантажити сертифікат" display="Завантажити сертифікат"/>
    <hyperlink ref="F27" r:id="rId26" tooltip="Завантажити сертифікат" display="Завантажити сертифікат"/>
    <hyperlink ref="F28" r:id="rId27" tooltip="Завантажити сертифікат" display="Завантажити сертифікат"/>
    <hyperlink ref="F29" r:id="rId28" tooltip="Завантажити сертифікат" display="Завантажити сертифікат"/>
    <hyperlink ref="F30" r:id="rId29" tooltip="Завантажити сертифікат" display="Завантажити сертифікат"/>
    <hyperlink ref="F31" r:id="rId30" tooltip="Завантажити сертифікат" display="Завантажити сертифікат"/>
    <hyperlink ref="F32" r:id="rId31" tooltip="Завантажити сертифікат" display="Завантажити сертифікат"/>
    <hyperlink ref="F33" r:id="rId32" tooltip="Завантажити сертифікат" display="Завантажити сертифікат"/>
    <hyperlink ref="F34" r:id="rId33" tooltip="Завантажити сертифікат" display="Завантажити сертифікат"/>
    <hyperlink ref="F35" r:id="rId34" tooltip="Завантажити сертифікат" display="Завантажити сертифікат"/>
    <hyperlink ref="F36" r:id="rId35" tooltip="Завантажити сертифікат" display="Завантажити сертифікат"/>
    <hyperlink ref="F37" r:id="rId36" tooltip="Завантажити сертифікат" display="Завантажити сертифікат"/>
    <hyperlink ref="F38" r:id="rId37" tooltip="Завантажити сертифікат" display="Завантажити сертифікат"/>
    <hyperlink ref="F39" r:id="rId38" tooltip="Завантажити сертифікат" display="Завантажити сертифікат"/>
    <hyperlink ref="F40" r:id="rId39" tooltip="Завантажити сертифікат" display="Завантажити сертифікат"/>
    <hyperlink ref="F41" r:id="rId40" tooltip="Завантажити сертифікат" display="Завантажити сертифікат"/>
    <hyperlink ref="F42" r:id="rId41" tooltip="Завантажити сертифікат" display="Завантажити сертифікат"/>
    <hyperlink ref="F43" r:id="rId42" tooltip="Завантажити сертифікат" display="Завантажити сертифікат"/>
    <hyperlink ref="F44" r:id="rId43" tooltip="Завантажити сертифікат" display="Завантажити сертифікат"/>
    <hyperlink ref="F45" r:id="rId44" tooltip="Завантажити сертифікат" display="Завантажити сертифікат"/>
    <hyperlink ref="F46" r:id="rId45" tooltip="Завантажити сертифікат" display="Завантажити сертифікат"/>
    <hyperlink ref="F47" r:id="rId46" tooltip="Завантажити сертифікат" display="Завантажити сертифікат"/>
    <hyperlink ref="F48" r:id="rId47" tooltip="Завантажити сертифікат" display="Завантажити сертифікат"/>
    <hyperlink ref="F49" r:id="rId48" tooltip="Завантажити сертифікат" display="Завантажити сертифікат"/>
    <hyperlink ref="F50" r:id="rId49" tooltip="Завантажити сертифікат" display="Завантажити сертифікат"/>
    <hyperlink ref="F51" r:id="rId50" tooltip="Завантажити сертифікат" display="Завантажити сертифікат"/>
    <hyperlink ref="F52" r:id="rId51" tooltip="Завантажити сертифікат" display="Завантажити сертифікат"/>
    <hyperlink ref="F53" r:id="rId52" tooltip="Завантажити сертифікат" display="Завантажити сертифікат"/>
    <hyperlink ref="F54" r:id="rId53" tooltip="Завантажити сертифікат" display="Завантажити сертифікат"/>
    <hyperlink ref="F55" r:id="rId54" tooltip="Завантажити сертифікат" display="Завантажити сертифікат"/>
    <hyperlink ref="F56" r:id="rId55" tooltip="Завантажити сертифікат" display="Завантажити сертифікат"/>
    <hyperlink ref="F57" r:id="rId56" tooltip="Завантажити сертифікат" display="Завантажити сертифікат"/>
    <hyperlink ref="F58" r:id="rId57" tooltip="Завантажити сертифікат" display="Завантажити сертифікат"/>
    <hyperlink ref="F59" r:id="rId58" tooltip="Завантажити сертифікат" display="Завантажити сертифікат"/>
    <hyperlink ref="F60" r:id="rId59" tooltip="Завантажити сертифікат" display="Завантажити сертифікат"/>
    <hyperlink ref="F61" r:id="rId60" tooltip="Завантажити сертифікат" display="Завантажити сертифікат"/>
    <hyperlink ref="F62" r:id="rId61" tooltip="Завантажити сертифікат" display="Завантажити сертифікат"/>
    <hyperlink ref="F63" r:id="rId62" tooltip="Завантажити сертифікат" display="Завантажити сертифікат"/>
    <hyperlink ref="F64" r:id="rId63" tooltip="Завантажити сертифікат" display="Завантажити сертифікат"/>
    <hyperlink ref="F65" r:id="rId64" tooltip="Завантажити сертифікат" display="Завантажити сертифікат"/>
    <hyperlink ref="F66" r:id="rId65" tooltip="Завантажити сертифікат" display="Завантажити сертифікат"/>
    <hyperlink ref="F67" r:id="rId66" tooltip="Завантажити сертифікат" display="Завантажити сертифікат"/>
    <hyperlink ref="F68" r:id="rId67" tooltip="Завантажити сертифікат" display="Завантажити сертифікат"/>
    <hyperlink ref="F69" r:id="rId68" tooltip="Завантажити сертифікат" display="Завантажити сертифікат"/>
    <hyperlink ref="F70" r:id="rId69" tooltip="Завантажити сертифікат" display="Завантажити сертифікат"/>
    <hyperlink ref="F71" r:id="rId70" tooltip="Завантажити сертифікат" display="Завантажити сертифікат"/>
    <hyperlink ref="F72" r:id="rId71" tooltip="Завантажити сертифікат" display="Завантажити сертифікат"/>
    <hyperlink ref="F73" r:id="rId72" tooltip="Завантажити сертифікат" display="Завантажити сертифікат"/>
    <hyperlink ref="F74" r:id="rId73" tooltip="Завантажити сертифікат" display="Завантажити сертифікат"/>
    <hyperlink ref="F75" r:id="rId74" tooltip="Завантажити сертифікат" display="Завантажити сертифікат"/>
    <hyperlink ref="F76" r:id="rId75" tooltip="Завантажити сертифікат" display="Завантажити сертифікат"/>
    <hyperlink ref="F77" r:id="rId76" tooltip="Завантажити сертифікат" display="Завантажити сертифікат"/>
    <hyperlink ref="F78" r:id="rId77" tooltip="Завантажити сертифікат" display="Завантажити сертифікат"/>
    <hyperlink ref="F79" r:id="rId78" tooltip="Завантажити сертифікат" display="Завантажити сертифікат"/>
    <hyperlink ref="F80" r:id="rId79" tooltip="Завантажити сертифікат" display="Завантажити сертифікат"/>
    <hyperlink ref="F81" r:id="rId80" tooltip="Завантажити сертифікат" display="Завантажити сертифікат"/>
    <hyperlink ref="F82" r:id="rId81" tooltip="Завантажити сертифікат" display="Завантажити сертифікат"/>
    <hyperlink ref="F83" r:id="rId82" tooltip="Завантажити сертифікат" display="Завантажити сертифікат"/>
    <hyperlink ref="F84" r:id="rId83" tooltip="Завантажити сертифікат" display="Завантажити сертифікат"/>
    <hyperlink ref="F85" r:id="rId84" tooltip="Завантажити сертифікат" display="Завантажити сертифікат"/>
    <hyperlink ref="F86" r:id="rId85" tooltip="Завантажити сертифікат" display="Завантажити сертифікат"/>
    <hyperlink ref="F87" r:id="rId86" tooltip="Завантажити сертифікат" display="Завантажити сертифікат"/>
    <hyperlink ref="F88" r:id="rId87" tooltip="Завантажити сертифікат" display="Завантажити сертифікат"/>
    <hyperlink ref="F89" r:id="rId88" tooltip="Завантажити сертифікат" display="Завантажити сертифікат"/>
    <hyperlink ref="F90" r:id="rId89" tooltip="Завантажити сертифікат" display="Завантажити сертифікат"/>
    <hyperlink ref="F91" r:id="rId90" tooltip="Завантажити сертифікат" display="Завантажити сертифікат"/>
    <hyperlink ref="F92" r:id="rId91" tooltip="Завантажити сертифікат" display="Завантажити сертифікат"/>
    <hyperlink ref="F93" r:id="rId92" tooltip="Завантажити сертифікат" display="Завантажити сертифікат"/>
    <hyperlink ref="F94" r:id="rId93" tooltip="Завантажити сертифікат" display="Завантажити сертифікат"/>
    <hyperlink ref="F95" r:id="rId94" tooltip="Завантажити сертифікат" display="Завантажити сертифікат"/>
    <hyperlink ref="F96" r:id="rId95" tooltip="Завантажити сертифікат" display="Завантажити сертифікат"/>
    <hyperlink ref="F97" r:id="rId96" tooltip="Завантажити сертифікат" display="Завантажити сертифікат"/>
    <hyperlink ref="F98" r:id="rId97" tooltip="Завантажити сертифікат" display="Завантажити сертифікат"/>
    <hyperlink ref="F99" r:id="rId98" tooltip="Завантажити сертифікат" display="Завантажити сертифікат"/>
    <hyperlink ref="F100" r:id="rId99" tooltip="Завантажити сертифікат" display="Завантажити сертифікат"/>
    <hyperlink ref="F101" r:id="rId100" tooltip="Завантажити сертифікат" display="Завантажити сертифікат"/>
    <hyperlink ref="F102" r:id="rId101" tooltip="Завантажити сертифікат" display="Завантажити сертифікат"/>
    <hyperlink ref="F103" r:id="rId102" tooltip="Завантажити сертифікат" display="Завантажити сертифікат"/>
    <hyperlink ref="F104" r:id="rId103" tooltip="Завантажити сертифікат" display="Завантажити сертифікат"/>
    <hyperlink ref="F105" r:id="rId104" tooltip="Завантажити сертифікат" display="Завантажити сертифікат"/>
    <hyperlink ref="F106" r:id="rId105" tooltip="Завантажити сертифікат" display="Завантажити сертифікат"/>
    <hyperlink ref="F107" r:id="rId106" tooltip="Завантажити сертифікат" display="Завантажити сертифікат"/>
    <hyperlink ref="F108" r:id="rId107" tooltip="Завантажити сертифікат" display="Завантажити сертифікат"/>
    <hyperlink ref="F109" r:id="rId108" tooltip="Завантажити сертифікат" display="Завантажити сертифікат"/>
    <hyperlink ref="F110" r:id="rId109" tooltip="Завантажити сертифікат" display="Завантажити сертифікат"/>
    <hyperlink ref="F111" r:id="rId110" tooltip="Завантажити сертифікат" display="Завантажити сертифікат"/>
    <hyperlink ref="F112" r:id="rId111" tooltip="Завантажити сертифікат" display="Завантажити сертифікат"/>
    <hyperlink ref="F113" r:id="rId112" tooltip="Завантажити сертифікат" display="Завантажити сертифікат"/>
    <hyperlink ref="F114" r:id="rId113" tooltip="Завантажити сертифікат" display="Завантажити сертифікат"/>
    <hyperlink ref="F115" r:id="rId114" tooltip="Завантажити сертифікат" display="Завантажити сертифікат"/>
    <hyperlink ref="F116" r:id="rId115" tooltip="Завантажити сертифікат" display="Завантажити сертифікат"/>
    <hyperlink ref="F117" r:id="rId116" tooltip="Завантажити сертифікат" display="Завантажити сертифікат"/>
    <hyperlink ref="F118" r:id="rId117" tooltip="Завантажити сертифікат" display="Завантажити сертифікат"/>
    <hyperlink ref="F128" r:id="rId118" tooltip="Завантажити сертифікат" display="Завантажити сертифікат"/>
    <hyperlink ref="F129" r:id="rId119" tooltip="Завантажити сертифікат" display="Завантажити сертифікат"/>
    <hyperlink ref="F130" r:id="rId120" tooltip="Завантажити сертифікат" display="Завантажити сертифікат"/>
    <hyperlink ref="F131" r:id="rId121" tooltip="Завантажити сертифікат" display="Завантажити сертифікат"/>
    <hyperlink ref="F132" r:id="rId122" tooltip="Завантажити сертифікат" display="Завантажити сертифікат"/>
    <hyperlink ref="F133" r:id="rId123" tooltip="Завантажити сертифікат" display="Завантажити сертифікат"/>
    <hyperlink ref="F134" r:id="rId124" tooltip="Завантажити сертифікат" display="Завантажити сертифікат"/>
    <hyperlink ref="F135" r:id="rId125" tooltip="Завантажити сертифікат" display="Завантажити сертифікат"/>
    <hyperlink ref="F136" r:id="rId126" tooltip="Завантажити сертифікат" display="Завантажити сертифікат"/>
    <hyperlink ref="F137" r:id="rId127" tooltip="Завантажити сертифікат" display="Завантажити сертифікат"/>
    <hyperlink ref="F138" r:id="rId128" tooltip="Завантажити сертифікат" display="Завантажити сертифікат"/>
    <hyperlink ref="F139" r:id="rId129" tooltip="Завантажити сертифікат" display="Завантажити сертифікат"/>
    <hyperlink ref="F140" r:id="rId130" tooltip="Завантажити сертифікат" display="Завантажити сертифікат"/>
    <hyperlink ref="F141" r:id="rId131" tooltip="Завантажити сертифікат" display="Завантажити сертифікат"/>
    <hyperlink ref="F142" r:id="rId132" tooltip="Завантажити сертифікат" display="Завантажити сертифікат"/>
    <hyperlink ref="F143" r:id="rId133" tooltip="Завантажити сертифікат" display="Завантажити сертифікат"/>
    <hyperlink ref="F144" r:id="rId134" tooltip="Завантажити сертифікат" display="Завантажити сертифікат"/>
    <hyperlink ref="F145" r:id="rId135" tooltip="Завантажити сертифікат" display="Завантажити сертифікат"/>
    <hyperlink ref="F146" r:id="rId136" tooltip="Завантажити сертифікат" display="Завантажити сертифікат"/>
    <hyperlink ref="F147" r:id="rId137" tooltip="Завантажити сертифікат" display="Завантажити сертифікат"/>
    <hyperlink ref="F148" r:id="rId138" tooltip="Завантажити сертифікат" display="Завантажити сертифікат"/>
    <hyperlink ref="F149" r:id="rId139" tooltip="Завантажити сертифікат" display="Завантажити сертифікат"/>
    <hyperlink ref="F150" r:id="rId140" tooltip="Завантажити сертифікат" display="Завантажити сертифікат"/>
    <hyperlink ref="F151" r:id="rId141" tooltip="Завантажити сертифікат" display="Завантажити сертифікат"/>
    <hyperlink ref="F152" r:id="rId142" tooltip="Завантажити сертифікат" display="Завантажити сертифікат"/>
    <hyperlink ref="F153" r:id="rId143" tooltip="Завантажити сертифікат" display="Завантажити сертифікат"/>
    <hyperlink ref="F154" r:id="rId144" tooltip="Завантажити сертифікат" display="Завантажити сертифікат"/>
    <hyperlink ref="F155" r:id="rId145" tooltip="Завантажити сертифікат" display="Завантажити сертифікат"/>
    <hyperlink ref="F156" r:id="rId146" tooltip="Завантажити сертифікат" display="Завантажити сертифікат"/>
    <hyperlink ref="F157" r:id="rId147" tooltip="Завантажити сертифікат" display="Завантажити сертифікат"/>
    <hyperlink ref="F158" r:id="rId148" tooltip="Завантажити сертифікат" display="Завантажити сертифікат"/>
    <hyperlink ref="F159" r:id="rId149" tooltip="Завантажити сертифікат" display="Завантажити сертифікат"/>
    <hyperlink ref="F160" r:id="rId150" tooltip="Завантажити сертифікат" display="Завантажити сертифікат"/>
    <hyperlink ref="F161" r:id="rId151" tooltip="Завантажити сертифікат" display="Завантажити сертифікат"/>
    <hyperlink ref="F162" r:id="rId152" tooltip="Завантажити сертифікат" display="Завантажити сертифікат"/>
    <hyperlink ref="F163" r:id="rId153" tooltip="Завантажити сертифікат" display="Завантажити сертифікат"/>
    <hyperlink ref="F164" r:id="rId154" tooltip="Завантажити сертифікат" display="Завантажити сертифікат"/>
    <hyperlink ref="F165" r:id="rId155" tooltip="Завантажити сертифікат" display="Завантажити сертифікат"/>
    <hyperlink ref="F166" r:id="rId156" tooltip="Завантажити сертифікат" display="Завантажити сертифікат"/>
    <hyperlink ref="F167" r:id="rId157" tooltip="Завантажити сертифікат" display="Завантажити сертифікат"/>
    <hyperlink ref="F168" r:id="rId158" tooltip="Завантажити сертифікат" display="Завантажити сертифікат"/>
    <hyperlink ref="F169" r:id="rId159" tooltip="Завантажити сертифікат" display="Завантажити сертифікат"/>
    <hyperlink ref="F170" r:id="rId160" tooltip="Завантажити сертифікат" display="Завантажити сертифікат"/>
    <hyperlink ref="F171" r:id="rId161" tooltip="Завантажити сертифікат" display="Завантажити сертифікат"/>
    <hyperlink ref="F172" r:id="rId162" tooltip="Завантажити сертифікат" display="Завантажити сертифікат"/>
    <hyperlink ref="F173" r:id="rId163" tooltip="Завантажити сертифікат" display="Завантажити сертифікат"/>
    <hyperlink ref="F174" r:id="rId164" tooltip="Завантажити сертифікат" display="Завантажити сертифікат"/>
    <hyperlink ref="F175" r:id="rId165" tooltip="Завантажити сертифікат" display="Завантажити сертифікат"/>
    <hyperlink ref="F176" r:id="rId166" tooltip="Завантажити сертифікат" display="Завантажити сертифікат"/>
    <hyperlink ref="F177" r:id="rId167" tooltip="Завантажити сертифікат" display="Завантажити сертифікат"/>
    <hyperlink ref="F178" r:id="rId168" tooltip="Завантажити сертифікат" display="Завантажити сертифікат"/>
    <hyperlink ref="F179" r:id="rId169" tooltip="Завантажити сертифікат" display="Завантажити сертифікат"/>
    <hyperlink ref="F180" r:id="rId170" tooltip="Завантажити сертифікат" display="Завантажити сертифікат"/>
    <hyperlink ref="F181" r:id="rId171" tooltip="Завантажити сертифікат" display="Завантажити сертифікат"/>
    <hyperlink ref="F182" r:id="rId172" tooltip="Завантажити сертифікат" display="Завантажити сертифікат"/>
    <hyperlink ref="F183" r:id="rId173" tooltip="Завантажити сертифікат" display="Завантажити сертифікат"/>
    <hyperlink ref="F184" r:id="rId174" tooltip="Завантажити сертифікат" display="Завантажити сертифікат"/>
    <hyperlink ref="F185" r:id="rId175" tooltip="Завантажити сертифікат" display="Завантажити сертифікат"/>
    <hyperlink ref="F186" r:id="rId176" tooltip="Завантажити сертифікат" display="Завантажити сертифікат"/>
    <hyperlink ref="F187" r:id="rId177" tooltip="Завантажити сертифікат" display="Завантажити сертифікат"/>
    <hyperlink ref="F188" r:id="rId178" tooltip="Завантажити сертифікат" display="Завантажити сертифікат"/>
    <hyperlink ref="F189" r:id="rId179" tooltip="Завантажити сертифікат" display="Завантажити сертифікат"/>
    <hyperlink ref="F190" r:id="rId180" tooltip="Завантажити сертифікат" display="Завантажити сертифікат"/>
    <hyperlink ref="F191" r:id="rId181" tooltip="Завантажити сертифікат" display="Завантажити сертифікат"/>
    <hyperlink ref="F192" r:id="rId182" tooltip="Завантажити сертифікат" display="Завантажити сертифікат"/>
    <hyperlink ref="F193" r:id="rId183" tooltip="Завантажити сертифікат" display="Завантажити сертифікат"/>
    <hyperlink ref="F194" r:id="rId184" tooltip="Завантажити сертифікат" display="Завантажити сертифікат"/>
    <hyperlink ref="F195" r:id="rId185" tooltip="Завантажити сертифікат" display="Завантажити сертифікат"/>
    <hyperlink ref="F196" r:id="rId186" tooltip="Завантажити сертифікат" display="Завантажити сертифікат"/>
    <hyperlink ref="F197" r:id="rId187" tooltip="Завантажити сертифікат" display="Завантажити сертифікат"/>
    <hyperlink ref="F198" r:id="rId188" tooltip="Завантажити сертифікат" display="Завантажити сертифікат"/>
    <hyperlink ref="F199" r:id="rId189" tooltip="Завантажити сертифікат" display="Завантажити сертифікат"/>
    <hyperlink ref="F200" r:id="rId190" tooltip="Завантажити сертифікат" display="Завантажити сертифікат"/>
    <hyperlink ref="F201" r:id="rId191" tooltip="Завантажити сертифікат" display="Завантажити сертифікат"/>
    <hyperlink ref="F202" r:id="rId192" tooltip="Завантажити сертифікат" display="Завантажити сертифікат"/>
    <hyperlink ref="F203" r:id="rId193" tooltip="Завантажити сертифікат" display="Завантажити сертифікат"/>
    <hyperlink ref="F204" r:id="rId194" tooltip="Завантажити сертифікат" display="Завантажити сертифікат"/>
    <hyperlink ref="F205" r:id="rId195" tooltip="Завантажити сертифікат" display="Завантажити сертифікат"/>
    <hyperlink ref="F206" r:id="rId196" tooltip="Завантажити сертифікат" display="Завантажити сертифікат"/>
    <hyperlink ref="F207" r:id="rId197" tooltip="Завантажити сертифікат" display="Завантажити сертифікат"/>
    <hyperlink ref="F208" r:id="rId198" tooltip="Завантажити сертифікат" display="Завантажити сертифікат"/>
    <hyperlink ref="F209" r:id="rId199" tooltip="Завантажити сертифікат" display="Завантажити сертифікат"/>
    <hyperlink ref="F210" r:id="rId200" tooltip="Завантажити сертифікат" display="Завантажити сертифікат"/>
    <hyperlink ref="F211" r:id="rId201" tooltip="Завантажити сертифікат" display="Завантажити сертифікат"/>
    <hyperlink ref="F212" r:id="rId202" tooltip="Завантажити сертифікат" display="Завантажити сертифікат"/>
    <hyperlink ref="F213" r:id="rId203" tooltip="Завантажити сертифікат" display="Завантажити сертифікат"/>
    <hyperlink ref="F214" r:id="rId204" tooltip="Завантажити сертифікат" display="Завантажити сертифікат"/>
    <hyperlink ref="F215" r:id="rId205" tooltip="Завантажити сертифікат" display="Завантажити сертифікат"/>
    <hyperlink ref="F216" r:id="rId206" tooltip="Завантажити сертифікат" display="Завантажити сертифікат"/>
    <hyperlink ref="F217" r:id="rId207" tooltip="Завантажити сертифікат" display="Завантажити сертифікат"/>
    <hyperlink ref="F218" r:id="rId208" tooltip="Завантажити сертифікат" display="Завантажити сертифікат"/>
    <hyperlink ref="F219" r:id="rId209" tooltip="Завантажити сертифікат" display="Завантажити сертифікат"/>
    <hyperlink ref="F220" r:id="rId210" tooltip="Завантажити сертифікат" display="Завантажити сертифікат"/>
    <hyperlink ref="F221" r:id="rId211" tooltip="Завантажити сертифікат" display="Завантажити сертифікат"/>
    <hyperlink ref="F222" r:id="rId212" tooltip="Завантажити сертифікат" display="Завантажити сертифікат"/>
    <hyperlink ref="F223" r:id="rId213" tooltip="Завантажити сертифікат" display="Завантажити сертифікат"/>
    <hyperlink ref="F224" r:id="rId214" tooltip="Завантажити сертифікат" display="Завантажити сертифікат"/>
    <hyperlink ref="F225" r:id="rId215" tooltip="Завантажити сертифікат" display="Завантажити сертифікат"/>
    <hyperlink ref="F226" r:id="rId216" tooltip="Завантажити сертифікат" display="Завантажити сертифікат"/>
    <hyperlink ref="F227" r:id="rId217" tooltip="Завантажити сертифікат" display="Завантажити сертифікат"/>
    <hyperlink ref="F228" r:id="rId218" tooltip="Завантажити сертифікат" display="Завантажити сертифікат"/>
    <hyperlink ref="F229" r:id="rId219" tooltip="Завантажити сертифікат" display="Завантажити сертифікат"/>
    <hyperlink ref="F230" r:id="rId220" tooltip="Завантажити сертифікат" display="Завантажити сертифікат"/>
    <hyperlink ref="F231" r:id="rId221" tooltip="Завантажити сертифікат" display="Завантажити сертифікат"/>
    <hyperlink ref="F232" r:id="rId222" tooltip="Завантажити сертифікат" display="Завантажити сертифікат"/>
    <hyperlink ref="F233" r:id="rId223" tooltip="Завантажити сертифікат" display="Завантажити сертифікат"/>
    <hyperlink ref="F234" r:id="rId224" tooltip="Завантажити сертифікат" display="Завантажити сертифікат"/>
    <hyperlink ref="F235" r:id="rId225" tooltip="Завантажити сертифікат" display="Завантажити сертифікат"/>
    <hyperlink ref="F236" r:id="rId226" tooltip="Завантажити сертифікат" display="Завантажити сертифікат"/>
    <hyperlink ref="F237" r:id="rId227" tooltip="Завантажити сертифікат" display="Завантажити сертифікат"/>
    <hyperlink ref="F238" r:id="rId228" tooltip="Завантажити сертифікат" display="Завантажити сертифікат"/>
    <hyperlink ref="F239" r:id="rId229" tooltip="Завантажити сертифікат" display="Завантажити сертифікат"/>
    <hyperlink ref="F240" r:id="rId230" tooltip="Завантажити сертифікат" display="Завантажити сертифікат"/>
    <hyperlink ref="F241" r:id="rId231" tooltip="Завантажити сертифікат" display="Завантажити сертифікат"/>
    <hyperlink ref="F242" r:id="rId232" tooltip="Завантажити сертифікат" display="Завантажити сертифікат"/>
    <hyperlink ref="F243" r:id="rId233" tooltip="Завантажити сертифікат" display="Завантажити сертифікат"/>
    <hyperlink ref="F244" r:id="rId234" tooltip="Завантажити сертифікат" display="Завантажити сертифікат"/>
    <hyperlink ref="F245" r:id="rId235" tooltip="Завантажити сертифікат" display="Завантажити сертифікат"/>
    <hyperlink ref="F246" r:id="rId236" tooltip="Завантажити сертифікат" display="Завантажити сертифікат"/>
    <hyperlink ref="F247" r:id="rId237" tooltip="Завантажити сертифікат" display="Завантажити сертифікат"/>
    <hyperlink ref="F248" r:id="rId238" tooltip="Завантажити сертифікат" display="Завантажити сертифікат"/>
    <hyperlink ref="F249" r:id="rId239" tooltip="Завантажити сертифікат" display="Завантажити сертифікат"/>
    <hyperlink ref="F250" r:id="rId240" tooltip="Завантажити сертифікат" display="Завантажити сертифікат"/>
    <hyperlink ref="F251" r:id="rId241" tooltip="Завантажити сертифікат" display="Завантажити сертифікат"/>
    <hyperlink ref="F252" r:id="rId242" tooltip="Завантажити сертифікат" display="Завантажити сертифікат"/>
    <hyperlink ref="F253" r:id="rId243" tooltip="Завантажити сертифікат" display="Завантажити сертифікат"/>
    <hyperlink ref="F254" r:id="rId244" tooltip="Завантажити сертифікат" display="Завантажити сертифікат"/>
    <hyperlink ref="F255" r:id="rId245" tooltip="Завантажити сертифікат" display="Завантажити сертифікат"/>
    <hyperlink ref="F256" r:id="rId246" tooltip="Завантажити сертифікат" display="Завантажити сертифікат"/>
    <hyperlink ref="F257" r:id="rId247" tooltip="Завантажити сертифікат" display="Завантажити сертифікат"/>
    <hyperlink ref="F258" r:id="rId248" tooltip="Завантажити сертифікат" display="Завантажити сертифікат"/>
    <hyperlink ref="F259" r:id="rId249" tooltip="Завантажити сертифікат" display="Завантажити сертифікат"/>
    <hyperlink ref="F260" r:id="rId250" tooltip="Завантажити сертифікат" display="Завантажити сертифікат"/>
    <hyperlink ref="F261" r:id="rId251" tooltip="Завантажити сертифікат" display="Завантажити сертифікат"/>
    <hyperlink ref="F262" r:id="rId252" tooltip="Завантажити сертифікат" display="Завантажити сертифікат"/>
    <hyperlink ref="F263" r:id="rId253" tooltip="Завантажити сертифікат" display="Завантажити сертифікат"/>
    <hyperlink ref="F264" r:id="rId254" tooltip="Завантажити сертифікат" display="Завантажити сертифікат"/>
    <hyperlink ref="F265" r:id="rId255" tooltip="Завантажити сертифікат" display="Завантажити сертифікат"/>
    <hyperlink ref="F266" r:id="rId256" tooltip="Завантажити сертифікат" display="Завантажити сертифікат"/>
    <hyperlink ref="F267" r:id="rId257" tooltip="Завантажити сертифікат" display="Завантажити сертифікат"/>
    <hyperlink ref="F268" r:id="rId258" tooltip="Завантажити сертифікат" display="Завантажити сертифікат"/>
    <hyperlink ref="F269" r:id="rId259" tooltip="Завантажити сертифікат" display="Завантажити сертифікат"/>
    <hyperlink ref="F270" r:id="rId260" tooltip="Завантажити сертифікат" display="Завантажити сертифікат"/>
    <hyperlink ref="F271" r:id="rId261" tooltip="Завантажити сертифікат" display="Завантажити сертифікат"/>
    <hyperlink ref="F272" r:id="rId262" tooltip="Завантажити сертифікат" display="Завантажити сертифікат"/>
    <hyperlink ref="F273" r:id="rId263" tooltip="Завантажити сертифікат" display="Завантажити сертифікат"/>
    <hyperlink ref="F274" r:id="rId264" tooltip="Завантажити сертифікат" display="Завантажити сертифікат"/>
    <hyperlink ref="F275" r:id="rId265" tooltip="Завантажити сертифікат" display="Завантажити сертифікат"/>
    <hyperlink ref="F276" r:id="rId266" tooltip="Завантажити сертифікат" display="Завантажити сертифікат"/>
    <hyperlink ref="F277" r:id="rId267" tooltip="Завантажити сертифікат" display="Завантажити сертифікат"/>
    <hyperlink ref="F278" r:id="rId268" tooltip="Завантажити сертифікат" display="Завантажити сертифікат"/>
    <hyperlink ref="F279" r:id="rId269" tooltip="Завантажити сертифікат" display="Завантажити сертифікат"/>
    <hyperlink ref="F280" r:id="rId270" tooltip="Завантажити сертифікат" display="Завантажити сертифікат"/>
    <hyperlink ref="F281" r:id="rId271" tooltip="Завантажити сертифікат" display="Завантажити сертифікат"/>
    <hyperlink ref="F282" r:id="rId272" tooltip="Завантажити сертифікат" display="Завантажити сертифікат"/>
    <hyperlink ref="F283" r:id="rId273" tooltip="Завантажити сертифікат" display="Завантажити сертифікат"/>
    <hyperlink ref="F284" r:id="rId274" tooltip="Завантажити сертифікат" display="Завантажити сертифікат"/>
    <hyperlink ref="F285" r:id="rId275" tooltip="Завантажити сертифікат" display="Завантажити сертифікат"/>
    <hyperlink ref="F286" r:id="rId276" tooltip="Завантажити сертифікат" display="Завантажити сертифікат"/>
    <hyperlink ref="F287" r:id="rId277" tooltip="Завантажити сертифікат" display="Завантажити сертифікат"/>
    <hyperlink ref="F288" r:id="rId278" tooltip="Завантажити сертифікат" display="Завантажити сертифікат"/>
    <hyperlink ref="F289" r:id="rId279" tooltip="Завантажити сертифікат" display="Завантажити сертифікат"/>
    <hyperlink ref="F290" r:id="rId280" tooltip="Завантажити сертифікат" display="Завантажити сертифікат"/>
    <hyperlink ref="F291" r:id="rId281" tooltip="Завантажити сертифікат" display="Завантажити сертифікат"/>
    <hyperlink ref="F292" r:id="rId282" tooltip="Завантажити сертифікат" display="Завантажити сертифікат"/>
    <hyperlink ref="F293" r:id="rId283" tooltip="Завантажити сертифікат" display="Завантажити сертифікат"/>
    <hyperlink ref="F294" r:id="rId284" tooltip="Завантажити сертифікат" display="Завантажити сертифікат"/>
    <hyperlink ref="F295" r:id="rId285" tooltip="Завантажити сертифікат" display="Завантажити сертифікат"/>
    <hyperlink ref="F296" r:id="rId286" tooltip="Завантажити сертифікат" display="Завантажити сертифікат"/>
    <hyperlink ref="F297" r:id="rId287" tooltip="Завантажити сертифікат" display="Завантажити сертифікат"/>
    <hyperlink ref="F298" r:id="rId288" tooltip="Завантажити сертифікат" display="Завантажити сертифікат"/>
    <hyperlink ref="F299" r:id="rId289" tooltip="Завантажити сертифікат" display="Завантажити сертифікат"/>
    <hyperlink ref="F300" r:id="rId290" tooltip="Завантажити сертифікат" display="Завантажити сертифікат"/>
    <hyperlink ref="F301" r:id="rId291" tooltip="Завантажити сертифікат" display="Завантажити сертифікат"/>
    <hyperlink ref="F302" r:id="rId292" tooltip="Завантажити сертифікат" display="Завантажити сертифікат"/>
    <hyperlink ref="F303" r:id="rId293" tooltip="Завантажити сертифікат" display="Завантажити сертифікат"/>
    <hyperlink ref="F304" r:id="rId294" tooltip="Завантажити сертифікат" display="Завантажити сертифікат"/>
    <hyperlink ref="F305" r:id="rId295" tooltip="Завантажити сертифікат" display="Завантажити сертифікат"/>
    <hyperlink ref="F306" r:id="rId296" tooltip="Завантажити сертифікат" display="Завантажити сертифікат"/>
    <hyperlink ref="F307" r:id="rId297" tooltip="Завантажити сертифікат" display="Завантажити сертифікат"/>
    <hyperlink ref="F308" r:id="rId298" tooltip="Завантажити сертифікат" display="Завантажити сертифікат"/>
    <hyperlink ref="F309" r:id="rId299" tooltip="Завантажити сертифікат" display="Завантажити сертифікат"/>
    <hyperlink ref="F310" r:id="rId300" tooltip="Завантажити сертифікат" display="Завантажити сертифікат"/>
    <hyperlink ref="F311" r:id="rId301" tooltip="Завантажити сертифікат" display="Завантажити сертифікат"/>
    <hyperlink ref="F312" r:id="rId302" tooltip="Завантажити сертифікат" display="Завантажити сертифікат"/>
    <hyperlink ref="F313" r:id="rId303" tooltip="Завантажити сертифікат" display="Завантажити сертифікат"/>
    <hyperlink ref="F314" r:id="rId304" tooltip="Завантажити сертифікат" display="Завантажити сертифікат"/>
    <hyperlink ref="F315" r:id="rId305" tooltip="Завантажити сертифікат" display="Завантажити сертифікат"/>
    <hyperlink ref="F316" r:id="rId306" tooltip="Завантажити сертифікат" display="Завантажити сертифікат"/>
    <hyperlink ref="F317" r:id="rId307" tooltip="Завантажити сертифікат" display="Завантажити сертифікат"/>
    <hyperlink ref="F318" r:id="rId308" tooltip="Завантажити сертифікат" display="Завантажити сертифікат"/>
    <hyperlink ref="F319" r:id="rId309" tooltip="Завантажити сертифікат" display="Завантажити сертифікат"/>
    <hyperlink ref="F320" r:id="rId310" tooltip="Завантажити сертифікат" display="Завантажити сертифікат"/>
    <hyperlink ref="F321" r:id="rId311" tooltip="Завантажити сертифікат" display="Завантажити сертифікат"/>
    <hyperlink ref="F322" r:id="rId312" tooltip="Завантажити сертифікат" display="Завантажити сертифікат"/>
    <hyperlink ref="F323" r:id="rId313" tooltip="Завантажити сертифікат" display="Завантажити сертифікат"/>
    <hyperlink ref="F324" r:id="rId314" tooltip="Завантажити сертифікат" display="Завантажити сертифікат"/>
    <hyperlink ref="F325" r:id="rId315" tooltip="Завантажити сертифікат" display="Завантажити сертифікат"/>
    <hyperlink ref="F326" r:id="rId316" tooltip="Завантажити сертифікат" display="Завантажити сертифікат"/>
    <hyperlink ref="F327" r:id="rId317" tooltip="Завантажити сертифікат" display="Завантажити сертифікат"/>
    <hyperlink ref="F328" r:id="rId318" tooltip="Завантажити сертифікат" display="Завантажити сертифікат"/>
    <hyperlink ref="F329" r:id="rId319" tooltip="Завантажити сертифікат" display="Завантажити сертифікат"/>
    <hyperlink ref="F330" r:id="rId320" tooltip="Завантажити сертифікат" display="Завантажити сертифікат"/>
    <hyperlink ref="F331" r:id="rId321" tooltip="Завантажити сертифікат" display="Завантажити сертифікат"/>
    <hyperlink ref="F332" r:id="rId322" tooltip="Завантажити сертифікат" display="Завантажити сертифікат"/>
    <hyperlink ref="F333" r:id="rId323" tooltip="Завантажити сертифікат" display="Завантажити сертифікат"/>
    <hyperlink ref="F334" r:id="rId324" tooltip="Завантажити сертифікат" display="Завантажити сертифікат"/>
    <hyperlink ref="F335" r:id="rId325" tooltip="Завантажити сертифікат" display="Завантажити сертифікат"/>
    <hyperlink ref="F336" r:id="rId326" tooltip="Завантажити сертифікат" display="Завантажити сертифікат"/>
    <hyperlink ref="F337" r:id="rId327" tooltip="Завантажити сертифікат" display="Завантажити сертифікат"/>
    <hyperlink ref="F338" r:id="rId328" tooltip="Завантажити сертифікат" display="Завантажити сертифікат"/>
    <hyperlink ref="F339" r:id="rId329" tooltip="Завантажити сертифікат" display="Завантажити сертифікат"/>
    <hyperlink ref="F340" r:id="rId330" tooltip="Завантажити сертифікат" display="Завантажити сертифікат"/>
    <hyperlink ref="F341" r:id="rId331" tooltip="Завантажити сертифікат" display="Завантажити сертифікат"/>
    <hyperlink ref="F342" r:id="rId332" tooltip="Завантажити сертифікат" display="Завантажити сертифікат"/>
    <hyperlink ref="F343" r:id="rId333" tooltip="Завантажити сертифікат" display="Завантажити сертифікат"/>
    <hyperlink ref="F344" r:id="rId334" tooltip="Завантажити сертифікат" display="Завантажити сертифікат"/>
    <hyperlink ref="F345" r:id="rId335" tooltip="Завантажити сертифікат" display="Завантажити сертифікат"/>
    <hyperlink ref="F346" r:id="rId336" tooltip="Завантажити сертифікат" display="Завантажити сертифікат"/>
    <hyperlink ref="F347" r:id="rId337" tooltip="Завантажити сертифікат" display="Завантажити сертифікат"/>
    <hyperlink ref="F348" r:id="rId338" tooltip="Завантажити сертифікат" display="Завантажити сертифікат"/>
    <hyperlink ref="F349" r:id="rId339" tooltip="Завантажити сертифікат" display="Завантажити сертифікат"/>
    <hyperlink ref="F350" r:id="rId340" tooltip="Завантажити сертифікат" display="Завантажити сертифікат"/>
    <hyperlink ref="F351" r:id="rId341" tooltip="Завантажити сертифікат" display="Завантажити сертифікат"/>
    <hyperlink ref="F352" r:id="rId342" tooltip="Завантажити сертифікат" display="Завантажити сертифікат"/>
    <hyperlink ref="F353" r:id="rId343" tooltip="Завантажити сертифікат" display="Завантажити сертифікат"/>
    <hyperlink ref="F354" r:id="rId344" tooltip="Завантажити сертифікат" display="Завантажити сертифікат"/>
    <hyperlink ref="F355" r:id="rId345" tooltip="Завантажити сертифікат" display="Завантажити сертифікат"/>
    <hyperlink ref="F356" r:id="rId346" tooltip="Завантажити сертифікат" display="Завантажити сертифікат"/>
    <hyperlink ref="F357" r:id="rId347" tooltip="Завантажити сертифікат" display="Завантажити сертифікат"/>
    <hyperlink ref="F358" r:id="rId348" tooltip="Завантажити сертифікат" display="Завантажити сертифікат"/>
    <hyperlink ref="F359" r:id="rId349" tooltip="Завантажити сертифікат" display="Завантажити сертифікат"/>
    <hyperlink ref="F360" r:id="rId350" tooltip="Завантажити сертифікат" display="Завантажити сертифікат"/>
    <hyperlink ref="F361" r:id="rId351" tooltip="Завантажити сертифікат" display="Завантажити сертифікат"/>
    <hyperlink ref="F362" r:id="rId352" tooltip="Завантажити сертифікат" display="Завантажити сертифікат"/>
    <hyperlink ref="F363" r:id="rId353" tooltip="Завантажити сертифікат" display="Завантажити сертифікат"/>
    <hyperlink ref="F364" r:id="rId354" tooltip="Завантажити сертифікат" display="Завантажити сертифікат"/>
    <hyperlink ref="F365" r:id="rId355" tooltip="Завантажити сертифікат" display="Завантажити сертифікат"/>
    <hyperlink ref="F366" r:id="rId356" tooltip="Завантажити сертифікат" display="Завантажити сертифікат"/>
    <hyperlink ref="F367" r:id="rId357" tooltip="Завантажити сертифікат" display="Завантажити сертифікат"/>
    <hyperlink ref="F368" r:id="rId358" tooltip="Завантажити сертифікат" display="Завантажити сертифікат"/>
    <hyperlink ref="F369" r:id="rId359" tooltip="Завантажити сертифікат" display="Завантажити сертифікат"/>
    <hyperlink ref="F370" r:id="rId360" tooltip="Завантажити сертифікат" display="Завантажити сертифікат"/>
    <hyperlink ref="F371" r:id="rId361" tooltip="Завантажити сертифікат" display="Завантажити сертифікат"/>
    <hyperlink ref="F372" r:id="rId362" tooltip="Завантажити сертифікат" display="Завантажити сертифікат"/>
    <hyperlink ref="F373" r:id="rId363" tooltip="Завантажити сертифікат" display="Завантажити сертифікат"/>
    <hyperlink ref="F374" r:id="rId364" tooltip="Завантажити сертифікат" display="Завантажити сертифікат"/>
    <hyperlink ref="F375" r:id="rId365" tooltip="Завантажити сертифікат" display="Завантажити сертифікат"/>
    <hyperlink ref="F376" r:id="rId366" tooltip="Завантажити сертифікат" display="Завантажити сертифікат"/>
    <hyperlink ref="F377" r:id="rId367" tooltip="Завантажити сертифікат" display="Завантажити сертифікат"/>
    <hyperlink ref="F378" r:id="rId368" tooltip="Завантажити сертифікат" display="Завантажити сертифікат"/>
    <hyperlink ref="F379" r:id="rId369" tooltip="Завантажити сертифікат" display="Завантажити сертифікат"/>
    <hyperlink ref="F380" r:id="rId370" tooltip="Завантажити сертифікат" display="Завантажити сертифікат"/>
    <hyperlink ref="F381" r:id="rId371" tooltip="Завантажити сертифікат" display="Завантажити сертифікат"/>
    <hyperlink ref="F382" r:id="rId372" tooltip="Завантажити сертифікат" display="Завантажити сертифікат"/>
    <hyperlink ref="F383" r:id="rId373" tooltip="Завантажити сертифікат" display="Завантажити сертифікат"/>
    <hyperlink ref="F384" r:id="rId374" tooltip="Завантажити сертифікат" display="Завантажити сертифікат"/>
    <hyperlink ref="F385" r:id="rId375" tooltip="Завантажити сертифікат" display="Завантажити сертифікат"/>
    <hyperlink ref="F386" r:id="rId376" tooltip="Завантажити сертифікат" display="Завантажити сертифікат"/>
    <hyperlink ref="F387" r:id="rId377" tooltip="Завантажити сертифікат" display="Завантажити сертифікат"/>
    <hyperlink ref="F388" r:id="rId378" tooltip="Завантажити сертифікат" display="Завантажити сертифікат"/>
    <hyperlink ref="F389" r:id="rId379" tooltip="Завантажити сертифікат" display="Завантажити сертифікат"/>
    <hyperlink ref="F390" r:id="rId380" tooltip="Завантажити сертифікат" display="Завантажити сертифікат"/>
    <hyperlink ref="F391" r:id="rId381" tooltip="Завантажити сертифікат" display="Завантажити сертифікат"/>
    <hyperlink ref="F392" r:id="rId382" tooltip="Завантажити сертифікат" display="Завантажити сертифікат"/>
    <hyperlink ref="F393" r:id="rId383" tooltip="Завантажити сертифікат" display="Завантажити сертифікат"/>
    <hyperlink ref="F394" r:id="rId384" tooltip="Завантажити сертифікат" display="Завантажити сертифікат"/>
    <hyperlink ref="F395" r:id="rId385" tooltip="Завантажити сертифікат" display="Завантажити сертифікат"/>
    <hyperlink ref="F396" r:id="rId386" tooltip="Завантажити сертифікат" display="Завантажити сертифікат"/>
    <hyperlink ref="F397" r:id="rId387" tooltip="Завантажити сертифікат" display="Завантажити сертифікат"/>
    <hyperlink ref="F398" r:id="rId388" tooltip="Завантажити сертифікат" display="Завантажити сертифікат"/>
    <hyperlink ref="F399" r:id="rId389" tooltip="Завантажити сертифікат" display="Завантажити сертифікат"/>
    <hyperlink ref="F400" r:id="rId390" tooltip="Завантажити сертифікат" display="Завантажити сертифікат"/>
    <hyperlink ref="F401" r:id="rId391" tooltip="Завантажити сертифікат" display="Завантажити сертифікат"/>
    <hyperlink ref="F402" r:id="rId392" tooltip="Завантажити сертифікат" display="Завантажити сертифікат"/>
    <hyperlink ref="F403" r:id="rId393" tooltip="Завантажити сертифікат" display="Завантажити сертифікат"/>
    <hyperlink ref="F404" r:id="rId394" tooltip="Завантажити сертифікат" display="Завантажити сертифікат"/>
    <hyperlink ref="F405" r:id="rId395" tooltip="Завантажити сертифікат" display="Завантажити сертифікат"/>
    <hyperlink ref="F406" r:id="rId396" tooltip="Завантажити сертифікат" display="Завантажити сертифікат"/>
    <hyperlink ref="F407" r:id="rId397" tooltip="Завантажити сертифікат" display="Завантажити сертифікат"/>
    <hyperlink ref="F408" r:id="rId398" tooltip="Завантажити сертифікат" display="Завантажити сертифікат"/>
    <hyperlink ref="F409" r:id="rId399" tooltip="Завантажити сертифікат" display="Завантажити сертифікат"/>
    <hyperlink ref="F410" r:id="rId400" tooltip="Завантажити сертифікат" display="Завантажити сертифікат"/>
    <hyperlink ref="F411" r:id="rId401" tooltip="Завантажити сертифікат" display="Завантажити сертифікат"/>
    <hyperlink ref="F412" r:id="rId402" tooltip="Завантажити сертифікат" display="Завантажити сертифікат"/>
    <hyperlink ref="F413" r:id="rId403" tooltip="Завантажити сертифікат" display="Завантажити сертифікат"/>
    <hyperlink ref="F414" r:id="rId404" tooltip="Завантажити сертифікат" display="Завантажити сертифікат"/>
    <hyperlink ref="F415" r:id="rId405" tooltip="Завантажити сертифікат" display="Завантажити сертифікат"/>
    <hyperlink ref="F416" r:id="rId406" tooltip="Завантажити сертифікат" display="Завантажити сертифікат"/>
    <hyperlink ref="F417" r:id="rId407" tooltip="Завантажити сертифікат" display="Завантажити сертифікат"/>
    <hyperlink ref="F418" r:id="rId408" tooltip="Завантажити сертифікат" display="Завантажити сертифікат"/>
    <hyperlink ref="F419" r:id="rId409" tooltip="Завантажити сертифікат" display="Завантажити сертифікат"/>
    <hyperlink ref="F420" r:id="rId410" tooltip="Завантажити сертифікат" display="Завантажити сертифікат"/>
    <hyperlink ref="F421" r:id="rId411" tooltip="Завантажити сертифікат" display="Завантажити сертифікат"/>
    <hyperlink ref="F422" r:id="rId412" tooltip="Завантажити сертифікат" display="Завантажити сертифікат"/>
    <hyperlink ref="F423" r:id="rId413" tooltip="Завантажити сертифікат" display="Завантажити сертифікат"/>
    <hyperlink ref="F424" r:id="rId414" tooltip="Завантажити сертифікат" display="Завантажити сертифікат"/>
    <hyperlink ref="F425" r:id="rId415" tooltip="Завантажити сертифікат" display="Завантажити сертифікат"/>
    <hyperlink ref="F426" r:id="rId416" tooltip="Завантажити сертифікат" display="Завантажити сертифікат"/>
    <hyperlink ref="F427" r:id="rId417" tooltip="Завантажити сертифікат" display="Завантажити сертифікат"/>
    <hyperlink ref="F428" r:id="rId418" tooltip="Завантажити сертифікат" display="Завантажити сертифікат"/>
    <hyperlink ref="F429" r:id="rId419" tooltip="Завантажити сертифікат" display="Завантажити сертифікат"/>
    <hyperlink ref="F430" r:id="rId420" tooltip="Завантажити сертифікат" display="Завантажити сертифікат"/>
    <hyperlink ref="F431" r:id="rId421" tooltip="Завантажити сертифікат" display="Завантажити сертифікат"/>
    <hyperlink ref="F432" r:id="rId422" tooltip="Завантажити сертифікат" display="Завантажити сертифікат"/>
    <hyperlink ref="F433" r:id="rId423" tooltip="Завантажити сертифікат" display="Завантажити сертифікат"/>
    <hyperlink ref="F434" r:id="rId424" tooltip="Завантажити сертифікат" display="Завантажити сертифікат"/>
    <hyperlink ref="F435" r:id="rId425" tooltip="Завантажити сертифікат" display="Завантажити сертифікат"/>
    <hyperlink ref="F436" r:id="rId426" tooltip="Завантажити сертифікат" display="Завантажити сертифікат"/>
    <hyperlink ref="F437" r:id="rId427" tooltip="Завантажити сертифікат" display="Завантажити сертифікат"/>
    <hyperlink ref="F438" r:id="rId428" tooltip="Завантажити сертифікат" display="Завантажити сертифікат"/>
    <hyperlink ref="F439" r:id="rId429" tooltip="Завантажити сертифікат" display="Завантажити сертифікат"/>
    <hyperlink ref="F440" r:id="rId430" tooltip="Завантажити сертифікат" display="Завантажити сертифікат"/>
    <hyperlink ref="F441" r:id="rId431" tooltip="Завантажити сертифікат" display="Завантажити сертифікат"/>
    <hyperlink ref="F442" r:id="rId432" tooltip="Завантажити сертифікат" display="Завантажити сертифікат"/>
    <hyperlink ref="F443" r:id="rId433" tooltip="Завантажити сертифікат" display="Завантажити сертифікат"/>
    <hyperlink ref="F444" r:id="rId434" tooltip="Завантажити сертифікат" display="Завантажити сертифікат"/>
    <hyperlink ref="F445" r:id="rId435" tooltip="Завантажити сертифікат" display="Завантажити сертифікат"/>
    <hyperlink ref="F446" r:id="rId436" tooltip="Завантажити сертифікат" display="Завантажити сертифікат"/>
    <hyperlink ref="F447" r:id="rId437" tooltip="Завантажити сертифікат" display="Завантажити сертифікат"/>
    <hyperlink ref="F448" r:id="rId438" tooltip="Завантажити сертифікат" display="Завантажити сертифікат"/>
    <hyperlink ref="F449" r:id="rId439" tooltip="Завантажити сертифікат" display="Завантажити сертифікат"/>
    <hyperlink ref="F450" r:id="rId440" tooltip="Завантажити сертифікат" display="Завантажити сертифікат"/>
    <hyperlink ref="F451" r:id="rId441" tooltip="Завантажити сертифікат" display="Завантажити сертифікат"/>
    <hyperlink ref="F452" r:id="rId442" tooltip="Завантажити сертифікат" display="Завантажити сертифікат"/>
    <hyperlink ref="F453" r:id="rId443" tooltip="Завантажити сертифікат" display="Завантажити сертифікат"/>
    <hyperlink ref="F454" r:id="rId444" tooltip="Завантажити сертифікат" display="Завантажити сертифікат"/>
    <hyperlink ref="F455" r:id="rId445" tooltip="Завантажити сертифікат" display="Завантажити сертифікат"/>
    <hyperlink ref="F456" r:id="rId446" tooltip="Завантажити сертифікат" display="Завантажити сертифікат"/>
    <hyperlink ref="F457" r:id="rId447" tooltip="Завантажити сертифікат" display="Завантажити сертифікат"/>
    <hyperlink ref="F458" r:id="rId448" tooltip="Завантажити сертифікат" display="Завантажити сертифікат"/>
    <hyperlink ref="F459" r:id="rId449" tooltip="Завантажити сертифікат" display="Завантажити сертифікат"/>
    <hyperlink ref="F460" r:id="rId450" tooltip="Завантажити сертифікат" display="Завантажити сертифікат"/>
    <hyperlink ref="F461" r:id="rId451" tooltip="Завантажити сертифікат" display="Завантажити сертифікат"/>
    <hyperlink ref="F462" r:id="rId452" tooltip="Завантажити сертифікат" display="Завантажити сертифікат"/>
    <hyperlink ref="F463" r:id="rId453" tooltip="Завантажити сертифікат" display="Завантажити сертифікат"/>
    <hyperlink ref="F464" r:id="rId454" tooltip="Завантажити сертифікат" display="Завантажити сертифікат"/>
    <hyperlink ref="F465" r:id="rId455" tooltip="Завантажити сертифікат" display="Завантажити сертифікат"/>
    <hyperlink ref="F466" r:id="rId456" tooltip="Завантажити сертифікат" display="Завантажити сертифікат"/>
    <hyperlink ref="F467" r:id="rId457" tooltip="Завантажити сертифікат" display="Завантажити сертифікат"/>
    <hyperlink ref="F468" r:id="rId458" tooltip="Завантажити сертифікат" display="Завантажити сертифікат"/>
    <hyperlink ref="F469" r:id="rId459" tooltip="Завантажити сертифікат" display="Завантажити сертифікат"/>
    <hyperlink ref="F470" r:id="rId460" tooltip="Завантажити сертифікат" display="Завантажити сертифікат"/>
    <hyperlink ref="F471" r:id="rId461" tooltip="Завантажити сертифікат" display="Завантажити сертифікат"/>
    <hyperlink ref="F472" r:id="rId462" tooltip="Завантажити сертифікат" display="Завантажити сертифікат"/>
    <hyperlink ref="F473" r:id="rId463" tooltip="Завантажити сертифікат" display="Завантажити сертифікат"/>
    <hyperlink ref="F474" r:id="rId464" tooltip="Завантажити сертифікат" display="Завантажити сертифікат"/>
    <hyperlink ref="F475" r:id="rId465" tooltip="Завантажити сертифікат" display="Завантажити сертифікат"/>
    <hyperlink ref="F476" r:id="rId466" tooltip="Завантажити сертифікат" display="Завантажити сертифікат"/>
    <hyperlink ref="F477" r:id="rId467" tooltip="Завантажити сертифікат" display="Завантажити сертифікат"/>
    <hyperlink ref="F478" r:id="rId468" tooltip="Завантажити сертифікат" display="Завантажити сертифікат"/>
    <hyperlink ref="F479" r:id="rId469" tooltip="Завантажити сертифікат" display="Завантажити сертифікат"/>
    <hyperlink ref="F480" r:id="rId470" tooltip="Завантажити сертифікат" display="Завантажити сертифікат"/>
    <hyperlink ref="F481" r:id="rId471" tooltip="Завантажити сертифікат" display="Завантажити сертифікат"/>
    <hyperlink ref="F482" r:id="rId472" tooltip="Завантажити сертифікат" display="Завантажити сертифікат"/>
    <hyperlink ref="F483" r:id="rId473" tooltip="Завантажити сертифікат" display="Завантажити сертифікат"/>
    <hyperlink ref="F484" r:id="rId474" tooltip="Завантажити сертифікат" display="Завантажити сертифікат"/>
    <hyperlink ref="F485" r:id="rId475" tooltip="Завантажити сертифікат" display="Завантажити сертифікат"/>
    <hyperlink ref="F486" r:id="rId476" tooltip="Завантажити сертифікат" display="Завантажити сертифікат"/>
    <hyperlink ref="F487" r:id="rId477" tooltip="Завантажити сертифікат" display="Завантажити сертифікат"/>
    <hyperlink ref="F488" r:id="rId478" tooltip="Завантажити сертифікат" display="Завантажити сертифікат"/>
    <hyperlink ref="F489" r:id="rId479" tooltip="Завантажити сертифікат" display="Завантажити сертифікат"/>
    <hyperlink ref="F490" r:id="rId480" tooltip="Завантажити сертифікат" display="Завантажити сертифікат"/>
    <hyperlink ref="F491" r:id="rId481" tooltip="Завантажити сертифікат" display="Завантажити сертифікат"/>
    <hyperlink ref="F492" r:id="rId482" tooltip="Завантажити сертифікат" display="Завантажити сертифікат"/>
    <hyperlink ref="F493" r:id="rId483" tooltip="Завантажити сертифікат" display="Завантажити сертифікат"/>
    <hyperlink ref="F494" r:id="rId484" tooltip="Завантажити сертифікат" display="Завантажити сертифікат"/>
    <hyperlink ref="F495" r:id="rId485" tooltip="Завантажити сертифікат" display="Завантажити сертифікат"/>
    <hyperlink ref="F496" r:id="rId486" tooltip="Завантажити сертифікат" display="Завантажити сертифікат"/>
    <hyperlink ref="F497" r:id="rId487" tooltip="Завантажити сертифікат" display="Завантажити сертифікат"/>
    <hyperlink ref="F498" r:id="rId488" tooltip="Завантажити сертифікат" display="Завантажити сертифікат"/>
    <hyperlink ref="F499" r:id="rId489" tooltip="Завантажити сертифікат" display="Завантажити сертифікат"/>
    <hyperlink ref="F500" r:id="rId490" tooltip="Завантажити сертифікат" display="Завантажити сертифікат"/>
    <hyperlink ref="F501" r:id="rId491" tooltip="Завантажити сертифікат" display="Завантажити сертифікат"/>
    <hyperlink ref="F502" r:id="rId492" tooltip="Завантажити сертифікат" display="Завантажити сертифікат"/>
    <hyperlink ref="F503" r:id="rId493" tooltip="Завантажити сертифікат" display="Завантажити сертифікат"/>
    <hyperlink ref="F504" r:id="rId494" tooltip="Завантажити сертифікат" display="Завантажити сертифікат"/>
    <hyperlink ref="F505" r:id="rId495" tooltip="Завантажити сертифікат" display="Завантажити сертифікат"/>
    <hyperlink ref="F506" r:id="rId496" tooltip="Завантажити сертифікат" display="Завантажити сертифікат"/>
    <hyperlink ref="F507" r:id="rId497" tooltip="Завантажити сертифікат" display="Завантажити сертифікат"/>
    <hyperlink ref="F508" r:id="rId498" tooltip="Завантажити сертифікат" display="Завантажити сертифікат"/>
    <hyperlink ref="F509" r:id="rId499" tooltip="Завантажити сертифікат" display="Завантажити сертифікат"/>
    <hyperlink ref="F510" r:id="rId500" tooltip="Завантажити сертифікат" display="Завантажити сертифікат"/>
    <hyperlink ref="F511" r:id="rId501" tooltip="Завантажити сертифікат" display="Завантажити сертифікат"/>
    <hyperlink ref="F512" r:id="rId502" tooltip="Завантажити сертифікат" display="Завантажити сертифікат"/>
    <hyperlink ref="F513" r:id="rId503" tooltip="Завантажити сертифікат" display="Завантажити сертифікат"/>
    <hyperlink ref="F514" r:id="rId504" tooltip="Завантажити сертифікат" display="Завантажити сертифікат"/>
    <hyperlink ref="F515" r:id="rId505" tooltip="Завантажити сертифікат" display="Завантажити сертифікат"/>
    <hyperlink ref="F516" r:id="rId506" tooltip="Завантажити сертифікат" display="Завантажити сертифікат"/>
    <hyperlink ref="F517" r:id="rId507" tooltip="Завантажити сертифікат" display="Завантажити сертифікат"/>
    <hyperlink ref="F518" r:id="rId508" tooltip="Завантажити сертифікат" display="Завантажити сертифікат"/>
    <hyperlink ref="F519" r:id="rId509" tooltip="Завантажити сертифікат" display="Завантажити сертифікат"/>
    <hyperlink ref="F520" r:id="rId510" tooltip="Завантажити сертифікат" display="Завантажити сертифікат"/>
    <hyperlink ref="F521" r:id="rId511" tooltip="Завантажити сертифікат" display="Завантажити сертифікат"/>
    <hyperlink ref="F522" r:id="rId512" tooltip="Завантажити сертифікат" display="Завантажити сертифікат"/>
    <hyperlink ref="F523" r:id="rId513" tooltip="Завантажити сертифікат" display="Завантажити сертифікат"/>
    <hyperlink ref="F524" r:id="rId514" tooltip="Завантажити сертифікат" display="Завантажити сертифікат"/>
    <hyperlink ref="F525" r:id="rId515" tooltip="Завантажити сертифікат" display="Завантажити сертифікат"/>
    <hyperlink ref="F526" r:id="rId516" tooltip="Завантажити сертифікат" display="Завантажити сертифікат"/>
    <hyperlink ref="F527" r:id="rId517" tooltip="Завантажити сертифікат" display="Завантажити сертифікат"/>
    <hyperlink ref="F528" r:id="rId518" tooltip="Завантажити сертифікат" display="Завантажити сертифікат"/>
    <hyperlink ref="F529" r:id="rId519" tooltip="Завантажити сертифікат" display="Завантажити сертифікат"/>
    <hyperlink ref="F530" r:id="rId520" tooltip="Завантажити сертифікат" display="Завантажити сертифікат"/>
    <hyperlink ref="F531" r:id="rId521" tooltip="Завантажити сертифікат" display="Завантажити сертифікат"/>
    <hyperlink ref="F532" r:id="rId522" tooltip="Завантажити сертифікат" display="Завантажити сертифікат"/>
    <hyperlink ref="F533" r:id="rId523" tooltip="Завантажити сертифікат" display="Завантажити сертифікат"/>
    <hyperlink ref="F534" r:id="rId524" tooltip="Завантажити сертифікат" display="Завантажити сертифікат"/>
    <hyperlink ref="F535" r:id="rId525" tooltip="Завантажити сертифікат" display="Завантажити сертифікат"/>
    <hyperlink ref="F536" r:id="rId526" tooltip="Завантажити сертифікат" display="Завантажити сертифікат"/>
    <hyperlink ref="F537" r:id="rId527" tooltip="Завантажити сертифікат" display="Завантажити сертифікат"/>
    <hyperlink ref="F538" r:id="rId528" tooltip="Завантажити сертифікат" display="Завантажити сертифікат"/>
    <hyperlink ref="F539" r:id="rId529" tooltip="Завантажити сертифікат" display="Завантажити сертифікат"/>
    <hyperlink ref="F540" r:id="rId530" tooltip="Завантажити сертифікат" display="Завантажити сертифікат"/>
    <hyperlink ref="F541" r:id="rId531" tooltip="Завантажити сертифікат" display="Завантажити сертифікат"/>
    <hyperlink ref="F542" r:id="rId532" tooltip="Завантажити сертифікат" display="Завантажити сертифікат"/>
    <hyperlink ref="F543" r:id="rId533" tooltip="Завантажити сертифікат" display="Завантажити сертифікат"/>
    <hyperlink ref="F544" r:id="rId534" tooltip="Завантажити сертифікат" display="Завантажити сертифікат"/>
    <hyperlink ref="F545" r:id="rId535" tooltip="Завантажити сертифікат" display="Завантажити сертифікат"/>
    <hyperlink ref="F546" r:id="rId536" tooltip="Завантажити сертифікат" display="Завантажити сертифікат"/>
    <hyperlink ref="F547" r:id="rId537" tooltip="Завантажити сертифікат" display="Завантажити сертифікат"/>
    <hyperlink ref="F548" r:id="rId538" tooltip="Завантажити сертифікат" display="Завантажити сертифікат"/>
    <hyperlink ref="F549" r:id="rId539" tooltip="Завантажити сертифікат" display="Завантажити сертифікат"/>
    <hyperlink ref="F550" r:id="rId540" tooltip="Завантажити сертифікат" display="Завантажити сертифікат"/>
    <hyperlink ref="F551" r:id="rId541" tooltip="Завантажити сертифікат" display="Завантажити сертифікат"/>
    <hyperlink ref="F552" r:id="rId542" tooltip="Завантажити сертифікат" display="Завантажити сертифікат"/>
    <hyperlink ref="F553" r:id="rId543" tooltip="Завантажити сертифікат" display="Завантажити сертифікат"/>
    <hyperlink ref="F554" r:id="rId544" tooltip="Завантажити сертифікат" display="Завантажити сертифікат"/>
    <hyperlink ref="F555" r:id="rId545" tooltip="Завантажити сертифікат" display="Завантажити сертифікат"/>
    <hyperlink ref="F556" r:id="rId546" tooltip="Завантажити сертифікат" display="Завантажити сертифікат"/>
    <hyperlink ref="F557" r:id="rId547" tooltip="Завантажити сертифікат" display="Завантажити сертифікат"/>
    <hyperlink ref="F558" r:id="rId548" tooltip="Завантажити сертифікат" display="Завантажити сертифікат"/>
    <hyperlink ref="F559" r:id="rId549" tooltip="Завантажити сертифікат" display="Завантажити сертифікат"/>
    <hyperlink ref="F560" r:id="rId550" tooltip="Завантажити сертифікат" display="Завантажити сертифікат"/>
    <hyperlink ref="F561" r:id="rId551" tooltip="Завантажити сертифікат" display="Завантажити сертифікат"/>
    <hyperlink ref="F562" r:id="rId552" tooltip="Завантажити сертифікат" display="Завантажити сертифікат"/>
    <hyperlink ref="F563" r:id="rId553" tooltip="Завантажити сертифікат" display="Завантажити сертифікат"/>
    <hyperlink ref="F564" r:id="rId554" tooltip="Завантажити сертифікат" display="Завантажити сертифікат"/>
    <hyperlink ref="F565" r:id="rId555" tooltip="Завантажити сертифікат" display="Завантажити сертифікат"/>
    <hyperlink ref="F566" r:id="rId556" tooltip="Завантажити сертифікат" display="Завантажити сертифікат"/>
    <hyperlink ref="F567" r:id="rId557" tooltip="Завантажити сертифікат" display="Завантажити сертифікат"/>
    <hyperlink ref="F568" r:id="rId558" tooltip="Завантажити сертифікат" display="Завантажити сертифікат"/>
    <hyperlink ref="F569" r:id="rId559" tooltip="Завантажити сертифікат" display="Завантажити сертифікат"/>
    <hyperlink ref="F570" r:id="rId560" tooltip="Завантажити сертифікат" display="Завантажити сертифікат"/>
    <hyperlink ref="F571" r:id="rId561" tooltip="Завантажити сертифікат" display="Завантажити сертифікат"/>
    <hyperlink ref="F572" r:id="rId562" tooltip="Завантажити сертифікат" display="Завантажити сертифікат"/>
    <hyperlink ref="F573" r:id="rId563" tooltip="Завантажити сертифікат" display="Завантажити сертифікат"/>
    <hyperlink ref="F574" r:id="rId564" tooltip="Завантажити сертифікат" display="Завантажити сертифікат"/>
    <hyperlink ref="F575" r:id="rId565" tooltip="Завантажити сертифікат" display="Завантажити сертифікат"/>
    <hyperlink ref="F576" r:id="rId566" tooltip="Завантажити сертифікат" display="Завантажити сертифікат"/>
    <hyperlink ref="F577" r:id="rId567" tooltip="Завантажити сертифікат" display="Завантажити сертифікат"/>
    <hyperlink ref="F578" r:id="rId568" tooltip="Завантажити сертифікат" display="Завантажити сертифікат"/>
    <hyperlink ref="F579" r:id="rId569" tooltip="Завантажити сертифікат" display="Завантажити сертифікат"/>
    <hyperlink ref="F580" r:id="rId570" tooltip="Завантажити сертифікат" display="Завантажити сертифікат"/>
    <hyperlink ref="F581" r:id="rId571" tooltip="Завантажити сертифікат" display="Завантажити сертифікат"/>
    <hyperlink ref="F582" r:id="rId572" tooltip="Завантажити сертифікат" display="Завантажити сертифікат"/>
    <hyperlink ref="F583" r:id="rId573" tooltip="Завантажити сертифікат" display="Завантажити сертифікат"/>
    <hyperlink ref="F584" r:id="rId574" tooltip="Завантажити сертифікат" display="Завантажити сертифікат"/>
    <hyperlink ref="F585" r:id="rId575" tooltip="Завантажити сертифікат" display="Завантажити сертифікат"/>
    <hyperlink ref="F586" r:id="rId576" tooltip="Завантажити сертифікат" display="Завантажити сертифікат"/>
    <hyperlink ref="F587" r:id="rId577" tooltip="Завантажити сертифікат" display="Завантажити сертифікат"/>
    <hyperlink ref="F588" r:id="rId578" tooltip="Завантажити сертифікат" display="Завантажити сертифікат"/>
    <hyperlink ref="F589" r:id="rId579" tooltip="Завантажити сертифікат" display="Завантажити сертифікат"/>
    <hyperlink ref="F590" r:id="rId580" tooltip="Завантажити сертифікат" display="Завантажити сертифікат"/>
    <hyperlink ref="F591" r:id="rId581" tooltip="Завантажити сертифікат" display="Завантажити сертифікат"/>
    <hyperlink ref="F592" r:id="rId582" tooltip="Завантажити сертифікат" display="Завантажити сертифікат"/>
    <hyperlink ref="F593" r:id="rId583" tooltip="Завантажити сертифікат" display="Завантажити сертифікат"/>
    <hyperlink ref="F594" r:id="rId584" tooltip="Завантажити сертифікат" display="Завантажити сертифікат"/>
    <hyperlink ref="F595" r:id="rId585" tooltip="Завантажити сертифікат" display="Завантажити сертифікат"/>
    <hyperlink ref="F596" r:id="rId586" tooltip="Завантажити сертифікат" display="Завантажити сертифікат"/>
    <hyperlink ref="F597" r:id="rId587" tooltip="Завантажити сертифікат" display="Завантажити сертифікат"/>
    <hyperlink ref="F598" r:id="rId588" tooltip="Завантажити сертифікат" display="Завантажити сертифікат"/>
    <hyperlink ref="F599" r:id="rId589" tooltip="Завантажити сертифікат" display="Завантажити сертифікат"/>
    <hyperlink ref="F600" r:id="rId590" tooltip="Завантажити сертифікат" display="Завантажити сертифікат"/>
    <hyperlink ref="F601" r:id="rId591" tooltip="Завантажити сертифікат" display="Завантажити сертифікат"/>
    <hyperlink ref="F602" r:id="rId592" tooltip="Завантажити сертифікат" display="Завантажити сертифікат"/>
    <hyperlink ref="F603" r:id="rId593" tooltip="Завантажити сертифікат" display="Завантажити сертифікат"/>
    <hyperlink ref="F604" r:id="rId594" tooltip="Завантажити сертифікат" display="Завантажити сертифікат"/>
    <hyperlink ref="F605" r:id="rId595" tooltip="Завантажити сертифікат" display="Завантажити сертифікат"/>
    <hyperlink ref="F606" r:id="rId596" tooltip="Завантажити сертифікат" display="Завантажити сертифікат"/>
    <hyperlink ref="F607" r:id="rId597" tooltip="Завантажити сертифікат" display="Завантажити сертифікат"/>
    <hyperlink ref="F608" r:id="rId598" tooltip="Завантажити сертифікат" display="Завантажити сертифікат"/>
    <hyperlink ref="F609" r:id="rId599" tooltip="Завантажити сертифікат" display="Завантажити сертифікат"/>
    <hyperlink ref="F610" r:id="rId600" tooltip="Завантажити сертифікат" display="Завантажити сертифікат"/>
    <hyperlink ref="F611" r:id="rId601" tooltip="Завантажити сертифікат" display="Завантажити сертифікат"/>
    <hyperlink ref="F612" r:id="rId602" tooltip="Завантажити сертифікат" display="Завантажити сертифікат"/>
    <hyperlink ref="F613" r:id="rId603" tooltip="Завантажити сертифікат" display="Завантажити сертифікат"/>
    <hyperlink ref="F614" r:id="rId604" tooltip="Завантажити сертифікат" display="Завантажити сертифікат"/>
    <hyperlink ref="F615" r:id="rId605" tooltip="Завантажити сертифікат" display="Завантажити сертифікат"/>
    <hyperlink ref="F616" r:id="rId606" tooltip="Завантажити сертифікат" display="Завантажити сертифікат"/>
    <hyperlink ref="F617" r:id="rId607" tooltip="Завантажити сертифікат" display="Завантажити сертифікат"/>
    <hyperlink ref="F618" r:id="rId608" tooltip="Завантажити сертифікат" display="Завантажити сертифікат"/>
    <hyperlink ref="F619" r:id="rId609" tooltip="Завантажити сертифікат" display="Завантажити сертифікат"/>
    <hyperlink ref="F620" r:id="rId610" tooltip="Завантажити сертифікат" display="Завантажити сертифікат"/>
    <hyperlink ref="F621" r:id="rId611" tooltip="Завантажити сертифікат" display="Завантажити сертифікат"/>
    <hyperlink ref="F622" r:id="rId612" tooltip="Завантажити сертифікат" display="Завантажити сертифікат"/>
    <hyperlink ref="F623" r:id="rId613" tooltip="Завантажити сертифікат" display="Завантажити сертифікат"/>
    <hyperlink ref="F624" r:id="rId614" tooltip="Завантажити сертифікат" display="Завантажити сертифікат"/>
    <hyperlink ref="F625" r:id="rId615" tooltip="Завантажити сертифікат" display="Завантажити сертифікат"/>
    <hyperlink ref="F626" r:id="rId616" tooltip="Завантажити сертифікат" display="Завантажити сертифікат"/>
    <hyperlink ref="F627" r:id="rId617" tooltip="Завантажити сертифікат" display="Завантажити сертифікат"/>
    <hyperlink ref="F628" r:id="rId618" tooltip="Завантажити сертифікат" display="Завантажити сертифікат"/>
    <hyperlink ref="F629" r:id="rId619" tooltip="Завантажити сертифікат" display="Завантажити сертифікат"/>
    <hyperlink ref="F630" r:id="rId620" tooltip="Завантажити сертифікат" display="Завантажити сертифікат"/>
    <hyperlink ref="F631" r:id="rId621" tooltip="Завантажити сертифікат" display="Завантажити сертифікат"/>
    <hyperlink ref="F632" r:id="rId622" tooltip="Завантажити сертифікат" display="Завантажити сертифікат"/>
    <hyperlink ref="F633" r:id="rId623" tooltip="Завантажити сертифікат" display="Завантажити сертифікат"/>
    <hyperlink ref="F634" r:id="rId624" tooltip="Завантажити сертифікат" display="Завантажити сертифікат"/>
    <hyperlink ref="F635" r:id="rId625" tooltip="Завантажити сертифікат" display="Завантажити сертифікат"/>
    <hyperlink ref="F636" r:id="rId626" tooltip="Завантажити сертифікат" display="Завантажити сертифікат"/>
    <hyperlink ref="F637" r:id="rId627" tooltip="Завантажити сертифікат" display="Завантажити сертифікат"/>
    <hyperlink ref="F638" r:id="rId628" tooltip="Завантажити сертифікат" display="Завантажити сертифікат"/>
    <hyperlink ref="F639" r:id="rId629" tooltip="Завантажити сертифікат" display="Завантажити сертифікат"/>
    <hyperlink ref="F640" r:id="rId630" tooltip="Завантажити сертифікат" display="Завантажити сертифікат"/>
    <hyperlink ref="F641" r:id="rId631" tooltip="Завантажити сертифікат" display="Завантажити сертифікат"/>
    <hyperlink ref="F642" r:id="rId632" tooltip="Завантажити сертифікат" display="Завантажити сертифікат"/>
    <hyperlink ref="F643" r:id="rId633" tooltip="Завантажити сертифікат" display="Завантажити сертифікат"/>
    <hyperlink ref="F644" r:id="rId634" tooltip="Завантажити сертифікат" display="Завантажити сертифікат"/>
    <hyperlink ref="F645" r:id="rId635" tooltip="Завантажити сертифікат" display="Завантажити сертифікат"/>
    <hyperlink ref="F646" r:id="rId636" tooltip="Завантажити сертифікат" display="Завантажити сертифікат"/>
    <hyperlink ref="F647" r:id="rId637" tooltip="Завантажити сертифікат" display="Завантажити сертифікат"/>
    <hyperlink ref="F648" r:id="rId638" tooltip="Завантажити сертифікат" display="Завантажити сертифікат"/>
    <hyperlink ref="F649" r:id="rId639" tooltip="Завантажити сертифікат" display="Завантажити сертифікат"/>
    <hyperlink ref="F650" r:id="rId640" tooltip="Завантажити сертифікат" display="Завантажити сертифікат"/>
    <hyperlink ref="F651" r:id="rId641" tooltip="Завантажити сертифікат" display="Завантажити сертифікат"/>
    <hyperlink ref="F652" r:id="rId642" tooltip="Завантажити сертифікат" display="Завантажити сертифікат"/>
    <hyperlink ref="F653" r:id="rId643" tooltip="Завантажити сертифікат" display="Завантажити сертифікат"/>
    <hyperlink ref="F654" r:id="rId644" tooltip="Завантажити сертифікат" display="Завантажити сертифікат"/>
    <hyperlink ref="F655" r:id="rId645" tooltip="Завантажити сертифікат" display="Завантажити сертифікат"/>
    <hyperlink ref="F656" r:id="rId646" tooltip="Завантажити сертифікат" display="Завантажити сертифікат"/>
    <hyperlink ref="F657" r:id="rId647" tooltip="Завантажити сертифікат" display="Завантажити сертифікат"/>
    <hyperlink ref="F658" r:id="rId648" tooltip="Завантажити сертифікат" display="Завантажити сертифікат"/>
    <hyperlink ref="F659" r:id="rId649" tooltip="Завантажити сертифікат" display="Завантажити сертифікат"/>
    <hyperlink ref="F660" r:id="rId650" tooltip="Завантажити сертифікат" display="Завантажити сертифікат"/>
    <hyperlink ref="F661" r:id="rId651" tooltip="Завантажити сертифікат" display="Завантажити сертифікат"/>
    <hyperlink ref="F662" r:id="rId652" tooltip="Завантажити сертифікат" display="Завантажити сертифікат"/>
    <hyperlink ref="F663" r:id="rId653" tooltip="Завантажити сертифікат" display="Завантажити сертифікат"/>
    <hyperlink ref="F664" r:id="rId654" tooltip="Завантажити сертифікат" display="Завантажити сертифікат"/>
    <hyperlink ref="F665" r:id="rId655" tooltip="Завантажити сертифікат" display="Завантажити сертифікат"/>
    <hyperlink ref="F666" r:id="rId656" tooltip="Завантажити сертифікат" display="Завантажити сертифікат"/>
    <hyperlink ref="F667" r:id="rId657" tooltip="Завантажити сертифікат" display="Завантажити сертифікат"/>
    <hyperlink ref="F668" r:id="rId658" tooltip="Завантажити сертифікат" display="Завантажити сертифікат"/>
    <hyperlink ref="F669" r:id="rId659" tooltip="Завантажити сертифікат" display="Завантажити сертифікат"/>
    <hyperlink ref="F670" r:id="rId660" tooltip="Завантажити сертифікат" display="Завантажити сертифікат"/>
    <hyperlink ref="F671" r:id="rId661" tooltip="Завантажити сертифікат" display="Завантажити сертифікат"/>
    <hyperlink ref="F672" r:id="rId662" tooltip="Завантажити сертифікат" display="Завантажити сертифікат"/>
    <hyperlink ref="F673" r:id="rId663" tooltip="Завантажити сертифікат" display="Завантажити сертифікат"/>
    <hyperlink ref="F674" r:id="rId664" tooltip="Завантажити сертифікат" display="Завантажити сертифікат"/>
    <hyperlink ref="F675" r:id="rId665" tooltip="Завантажити сертифікат" display="Завантажити сертифікат"/>
    <hyperlink ref="F676" r:id="rId666" tooltip="Завантажити сертифікат" display="Завантажити сертифікат"/>
    <hyperlink ref="F677" r:id="rId667" tooltip="Завантажити сертифікат" display="Завантажити сертифікат"/>
    <hyperlink ref="F678" r:id="rId668" tooltip="Завантажити сертифікат" display="Завантажити сертифікат"/>
    <hyperlink ref="F679" r:id="rId669" tooltip="Завантажити сертифікат" display="Завантажити сертифікат"/>
    <hyperlink ref="F680" r:id="rId670" tooltip="Завантажити сертифікат" display="Завантажити сертифікат"/>
    <hyperlink ref="F681" r:id="rId671" tooltip="Завантажити сертифікат" display="Завантажити сертифікат"/>
    <hyperlink ref="F682" r:id="rId672" tooltip="Завантажити сертифікат" display="Завантажити сертифікат"/>
    <hyperlink ref="F683" r:id="rId673" tooltip="Завантажити сертифікат" display="Завантажити сертифікат"/>
    <hyperlink ref="F684" r:id="rId674" tooltip="Завантажити сертифікат" display="Завантажити сертифікат"/>
    <hyperlink ref="F685" r:id="rId675" tooltip="Завантажити сертифікат" display="Завантажити сертифікат"/>
    <hyperlink ref="F686" r:id="rId676" tooltip="Завантажити сертифікат" display="Завантажити сертифікат"/>
    <hyperlink ref="F687" r:id="rId677" tooltip="Завантажити сертифікат" display="Завантажити сертифікат"/>
    <hyperlink ref="F688" r:id="rId678" tooltip="Завантажити сертифікат" display="Завантажити сертифікат"/>
    <hyperlink ref="F689" r:id="rId679" tooltip="Завантажити сертифікат" display="Завантажити сертифікат"/>
    <hyperlink ref="F690" r:id="rId680" tooltip="Завантажити сертифікат" display="Завантажити сертифікат"/>
    <hyperlink ref="F691" r:id="rId681" tooltip="Завантажити сертифікат" display="Завантажити сертифікат"/>
    <hyperlink ref="F692" r:id="rId682" tooltip="Завантажити сертифікат" display="Завантажити сертифікат"/>
    <hyperlink ref="F693" r:id="rId683" tooltip="Завантажити сертифікат" display="Завантажити сертифікат"/>
    <hyperlink ref="F694" r:id="rId684" tooltip="Завантажити сертифікат" display="Завантажити сертифікат"/>
    <hyperlink ref="F695" r:id="rId685" tooltip="Завантажити сертифікат" display="Завантажити сертифікат"/>
    <hyperlink ref="F696" r:id="rId686" tooltip="Завантажити сертифікат" display="Завантажити сертифікат"/>
    <hyperlink ref="F697" r:id="rId687" tooltip="Завантажити сертифікат" display="Завантажити сертифікат"/>
    <hyperlink ref="F698" r:id="rId688" tooltip="Завантажити сертифікат" display="Завантажити сертифікат"/>
    <hyperlink ref="F699" r:id="rId689" tooltip="Завантажити сертифікат" display="Завантажити сертифікат"/>
    <hyperlink ref="F700" r:id="rId690" tooltip="Завантажити сертифікат" display="Завантажити сертифікат"/>
    <hyperlink ref="F701" r:id="rId691" tooltip="Завантажити сертифікат" display="Завантажити сертифікат"/>
    <hyperlink ref="F702" r:id="rId692" tooltip="Завантажити сертифікат" display="Завантажити сертифікат"/>
    <hyperlink ref="F703" r:id="rId693" tooltip="Завантажити сертифікат" display="Завантажити сертифікат"/>
    <hyperlink ref="F704" r:id="rId694" tooltip="Завантажити сертифікат" display="Завантажити сертифікат"/>
    <hyperlink ref="F705" r:id="rId695" tooltip="Завантажити сертифікат" display="Завантажити сертифікат"/>
    <hyperlink ref="F706" r:id="rId696" tooltip="Завантажити сертифікат" display="Завантажити сертифікат"/>
    <hyperlink ref="F707" r:id="rId697" tooltip="Завантажити сертифікат" display="Завантажити сертифікат"/>
    <hyperlink ref="F708" r:id="rId698" tooltip="Завантажити сертифікат" display="Завантажити сертифікат"/>
    <hyperlink ref="F709" r:id="rId699" tooltip="Завантажити сертифікат" display="Завантажити сертифікат"/>
    <hyperlink ref="F710" r:id="rId700" tooltip="Завантажити сертифікат" display="Завантажити сертифікат"/>
    <hyperlink ref="F711" r:id="rId701" tooltip="Завантажити сертифікат" display="Завантажити сертифікат"/>
    <hyperlink ref="F712" r:id="rId702" tooltip="Завантажити сертифікат" display="Завантажити сертифікат"/>
    <hyperlink ref="F713" r:id="rId703" tooltip="Завантажити сертифікат" display="Завантажити сертифікат"/>
    <hyperlink ref="F714" r:id="rId704" tooltip="Завантажити сертифікат" display="Завантажити сертифікат"/>
    <hyperlink ref="F715" r:id="rId705" tooltip="Завантажити сертифікат" display="Завантажити сертифікат"/>
    <hyperlink ref="F716" r:id="rId706" tooltip="Завантажити сертифікат" display="Завантажити сертифікат"/>
    <hyperlink ref="F717" r:id="rId707" tooltip="Завантажити сертифікат" display="Завантажити сертифікат"/>
    <hyperlink ref="F718" r:id="rId708" tooltip="Завантажити сертифікат" display="Завантажити сертифікат"/>
    <hyperlink ref="F719" r:id="rId709" tooltip="Завантажити сертифікат" display="Завантажити сертифікат"/>
    <hyperlink ref="F720" r:id="rId710" tooltip="Завантажити сертифікат" display="Завантажити сертифікат"/>
    <hyperlink ref="F721" r:id="rId711" tooltip="Завантажити сертифікат" display="Завантажити сертифікат"/>
    <hyperlink ref="F722" r:id="rId712" tooltip="Завантажити сертифікат" display="Завантажити сертифікат"/>
    <hyperlink ref="F723" r:id="rId713" tooltip="Завантажити сертифікат" display="Завантажити сертифікат"/>
    <hyperlink ref="F724" r:id="rId714" tooltip="Завантажити сертифікат" display="Завантажити сертифікат"/>
    <hyperlink ref="F725" r:id="rId715" tooltip="Завантажити сертифікат" display="Завантажити сертифікат"/>
    <hyperlink ref="F726" r:id="rId716" tooltip="Завантажити сертифікат" display="Завантажити сертифікат"/>
    <hyperlink ref="F727" r:id="rId717" tooltip="Завантажити сертифікат" display="Завантажити сертифікат"/>
    <hyperlink ref="F728" r:id="rId718" tooltip="Завантажити сертифікат" display="Завантажити сертифікат"/>
    <hyperlink ref="F729" r:id="rId719" tooltip="Завантажити сертифікат" display="Завантажити сертифікат"/>
    <hyperlink ref="F730" r:id="rId720" tooltip="Завантажити сертифікат" display="Завантажити сертифікат"/>
    <hyperlink ref="F731" r:id="rId721" tooltip="Завантажити сертифікат" display="Завантажити сертифікат"/>
    <hyperlink ref="F732" r:id="rId722" tooltip="Завантажити сертифікат" display="Завантажити сертифікат"/>
    <hyperlink ref="F733" r:id="rId723" tooltip="Завантажити сертифікат" display="Завантажити сертифікат"/>
    <hyperlink ref="F734" r:id="rId724" tooltip="Завантажити сертифікат" display="Завантажити сертифікат"/>
    <hyperlink ref="F735" r:id="rId725" tooltip="Завантажити сертифікат" display="Завантажити сертифікат"/>
    <hyperlink ref="F736" r:id="rId726" tooltip="Завантажити сертифікат" display="Завантажити сертифікат"/>
    <hyperlink ref="F737" r:id="rId727" tooltip="Завантажити сертифікат" display="Завантажити сертифікат"/>
    <hyperlink ref="F738" r:id="rId728" tooltip="Завантажити сертифікат" display="Завантажити сертифікат"/>
    <hyperlink ref="F739" r:id="rId729" tooltip="Завантажити сертифікат" display="Завантажити сертифікат"/>
    <hyperlink ref="F740" r:id="rId730" tooltip="Завантажити сертифікат" display="Завантажити сертифікат"/>
    <hyperlink ref="F741" r:id="rId731" tooltip="Завантажити сертифікат" display="Завантажити сертифікат"/>
    <hyperlink ref="F742" r:id="rId732" tooltip="Завантажити сертифікат" display="Завантажити сертифікат"/>
    <hyperlink ref="F743" r:id="rId733" tooltip="Завантажити сертифікат" display="Завантажити сертифікат"/>
    <hyperlink ref="F744" r:id="rId734" tooltip="Завантажити сертифікат" display="Завантажити сертифікат"/>
    <hyperlink ref="F745" r:id="rId735" tooltip="Завантажити сертифікат" display="Завантажити сертифікат"/>
    <hyperlink ref="F746" r:id="rId736" tooltip="Завантажити сертифікат" display="Завантажити сертифікат"/>
    <hyperlink ref="F747" r:id="rId737" tooltip="Завантажити сертифікат" display="Завантажити сертифікат"/>
    <hyperlink ref="F748" r:id="rId738" tooltip="Завантажити сертифікат" display="Завантажити сертифікат"/>
    <hyperlink ref="F749" r:id="rId739" tooltip="Завантажити сертифікат" display="Завантажити сертифікат"/>
    <hyperlink ref="F750" r:id="rId740" tooltip="Завантажити сертифікат" display="Завантажити сертифікат"/>
    <hyperlink ref="F751" r:id="rId741" tooltip="Завантажити сертифікат" display="Завантажити сертифікат"/>
    <hyperlink ref="F752" r:id="rId742" tooltip="Завантажити сертифікат" display="Завантажити сертифікат"/>
    <hyperlink ref="F753" r:id="rId743" tooltip="Завантажити сертифікат" display="Завантажити сертифікат"/>
    <hyperlink ref="F754" r:id="rId744" tooltip="Завантажити сертифікат" display="Завантажити сертифікат"/>
    <hyperlink ref="F755" r:id="rId745" tooltip="Завантажити сертифікат" display="Завантажити сертифікат"/>
    <hyperlink ref="F756" r:id="rId746" tooltip="Завантажити сертифікат" display="Завантажити сертифікат"/>
    <hyperlink ref="F757" r:id="rId747" tooltip="Завантажити сертифікат" display="Завантажити сертифікат"/>
    <hyperlink ref="F758" r:id="rId748" tooltip="Завантажити сертифікат" display="Завантажити сертифікат"/>
    <hyperlink ref="F759" r:id="rId749" tooltip="Завантажити сертифікат" display="Завантажити сертифікат"/>
    <hyperlink ref="F760" r:id="rId750" tooltip="Завантажити сертифікат" display="Завантажити сертифікат"/>
    <hyperlink ref="F761" r:id="rId751" tooltip="Завантажити сертифікат" display="Завантажити сертифікат"/>
    <hyperlink ref="F762" r:id="rId752" tooltip="Завантажити сертифікат" display="Завантажити сертифікат"/>
    <hyperlink ref="F763" r:id="rId753" tooltip="Завантажити сертифікат" display="Завантажити сертифікат"/>
    <hyperlink ref="F764" r:id="rId754" tooltip="Завантажити сертифікат" display="Завантажити сертифікат"/>
    <hyperlink ref="F765" r:id="rId755" tooltip="Завантажити сертифікат" display="Завантажити сертифікат"/>
    <hyperlink ref="F766" r:id="rId756" tooltip="Завантажити сертифікат" display="Завантажити сертифікат"/>
    <hyperlink ref="F767" r:id="rId757" tooltip="Завантажити сертифікат" display="Завантажити сертифікат"/>
    <hyperlink ref="F768" r:id="rId758" tooltip="Завантажити сертифікат" display="Завантажити сертифікат"/>
    <hyperlink ref="F769" r:id="rId759" tooltip="Завантажити сертифікат" display="Завантажити сертифікат"/>
    <hyperlink ref="F770" r:id="rId760" tooltip="Завантажити сертифікат" display="Завантажити сертифікат"/>
    <hyperlink ref="F771" r:id="rId761" tooltip="Завантажити сертифікат" display="Завантажити сертифікат"/>
    <hyperlink ref="F772" r:id="rId762" tooltip="Завантажити сертифікат" display="Завантажити сертифікат"/>
    <hyperlink ref="F773" r:id="rId763" tooltip="Завантажити сертифікат" display="Завантажити сертифікат"/>
    <hyperlink ref="F774" r:id="rId764" tooltip="Завантажити сертифікат" display="Завантажити сертифікат"/>
    <hyperlink ref="F775" r:id="rId765" tooltip="Завантажити сертифікат" display="Завантажити сертифікат"/>
    <hyperlink ref="F776" r:id="rId766" tooltip="Завантажити сертифікат" display="Завантажити сертифікат"/>
    <hyperlink ref="F777" r:id="rId767" tooltip="Завантажити сертифікат" display="Завантажити сертифікат"/>
    <hyperlink ref="F778" r:id="rId768" tooltip="Завантажити сертифікат" display="Завантажити сертифікат"/>
    <hyperlink ref="F779" r:id="rId769" tooltip="Завантажити сертифікат" display="Завантажити сертифікат"/>
    <hyperlink ref="F780" r:id="rId770" tooltip="Завантажити сертифікат" display="Завантажити сертифікат"/>
    <hyperlink ref="F781" r:id="rId771" tooltip="Завантажити сертифікат" display="Завантажити сертифікат"/>
    <hyperlink ref="F782" r:id="rId772" tooltip="Завантажити сертифікат" display="Завантажити сертифікат"/>
    <hyperlink ref="F783" r:id="rId773" tooltip="Завантажити сертифікат" display="Завантажити сертифікат"/>
    <hyperlink ref="F784" r:id="rId774" tooltip="Завантажити сертифікат" display="Завантажити сертифікат"/>
    <hyperlink ref="F785" r:id="rId775" tooltip="Завантажити сертифікат" display="Завантажити сертифікат"/>
    <hyperlink ref="F786" r:id="rId776" tooltip="Завантажити сертифікат" display="Завантажити сертифікат"/>
    <hyperlink ref="F787" r:id="rId777" tooltip="Завантажити сертифікат" display="Завантажити сертифікат"/>
    <hyperlink ref="F788" r:id="rId778" tooltip="Завантажити сертифікат" display="Завантажити сертифікат"/>
    <hyperlink ref="F789" r:id="rId779" tooltip="Завантажити сертифікат" display="Завантажити сертифікат"/>
    <hyperlink ref="F790" r:id="rId780" tooltip="Завантажити сертифікат" display="Завантажити сертифікат"/>
    <hyperlink ref="F791" r:id="rId781" tooltip="Завантажити сертифікат" display="Завантажити сертифікат"/>
    <hyperlink ref="F792" r:id="rId782" tooltip="Завантажити сертифікат" display="Завантажити сертифікат"/>
    <hyperlink ref="F793" r:id="rId783" tooltip="Завантажити сертифікат" display="Завантажити сертифікат"/>
    <hyperlink ref="F794" r:id="rId784" tooltip="Завантажити сертифікат" display="Завантажити сертифікат"/>
    <hyperlink ref="F795" r:id="rId785" tooltip="Завантажити сертифікат" display="Завантажити сертифікат"/>
    <hyperlink ref="F796" r:id="rId786" tooltip="Завантажити сертифікат" display="Завантажити сертифікат"/>
    <hyperlink ref="F797" r:id="rId787" tooltip="Завантажити сертифікат" display="Завантажити сертифікат"/>
    <hyperlink ref="F798" r:id="rId788" tooltip="Завантажити сертифікат" display="Завантажити сертифікат"/>
    <hyperlink ref="F799" r:id="rId789" tooltip="Завантажити сертифікат" display="Завантажити сертифікат"/>
    <hyperlink ref="F800" r:id="rId790" tooltip="Завантажити сертифікат" display="Завантажити сертифікат"/>
    <hyperlink ref="F801" r:id="rId791" tooltip="Завантажити сертифікат" display="Завантажити сертифікат"/>
    <hyperlink ref="F802" r:id="rId792" tooltip="Завантажити сертифікат" display="Завантажити сертифікат"/>
    <hyperlink ref="F803" r:id="rId793" tooltip="Завантажити сертифікат" display="Завантажити сертифікат"/>
    <hyperlink ref="F804" r:id="rId794" tooltip="Завантажити сертифікат" display="Завантажити сертифікат"/>
    <hyperlink ref="F805" r:id="rId795" tooltip="Завантажити сертифікат" display="Завантажити сертифікат"/>
    <hyperlink ref="F806" r:id="rId796" tooltip="Завантажити сертифікат" display="Завантажити сертифікат"/>
    <hyperlink ref="F807" r:id="rId797" tooltip="Завантажити сертифікат" display="Завантажити сертифікат"/>
    <hyperlink ref="F808" r:id="rId798" tooltip="Завантажити сертифікат" display="Завантажити сертифікат"/>
    <hyperlink ref="F809" r:id="rId799" tooltip="Завантажити сертифікат" display="Завантажити сертифікат"/>
    <hyperlink ref="F810" r:id="rId800" tooltip="Завантажити сертифікат" display="Завантажити сертифікат"/>
    <hyperlink ref="F811" r:id="rId801" tooltip="Завантажити сертифікат" display="Завантажити сертифікат"/>
    <hyperlink ref="F812" r:id="rId802" tooltip="Завантажити сертифікат" display="Завантажити сертифікат"/>
    <hyperlink ref="F813" r:id="rId803" tooltip="Завантажити сертифікат" display="Завантажити сертифікат"/>
    <hyperlink ref="F814" r:id="rId804" tooltip="Завантажити сертифікат" display="Завантажити сертифікат"/>
    <hyperlink ref="F815" r:id="rId805" tooltip="Завантажити сертифікат" display="Завантажити сертифікат"/>
    <hyperlink ref="F816" r:id="rId806" tooltip="Завантажити сертифікат" display="Завантажити сертифікат"/>
    <hyperlink ref="F817" r:id="rId807" tooltip="Завантажити сертифікат" display="Завантажити сертифікат"/>
    <hyperlink ref="F818" r:id="rId808" tooltip="Завантажити сертифікат" display="Завантажити сертифікат"/>
    <hyperlink ref="F819" r:id="rId809" tooltip="Завантажити сертифікат" display="Завантажити сертифікат"/>
    <hyperlink ref="F820" r:id="rId810" tooltip="Завантажити сертифікат" display="Завантажити сертифікат"/>
    <hyperlink ref="F821" r:id="rId811" tooltip="Завантажити сертифікат" display="Завантажити сертифікат"/>
    <hyperlink ref="F822" r:id="rId812" tooltip="Завантажити сертифікат" display="Завантажити сертифікат"/>
    <hyperlink ref="F823" r:id="rId813" tooltip="Завантажити сертифікат" display="Завантажити сертифікат"/>
    <hyperlink ref="F824" r:id="rId814" tooltip="Завантажити сертифікат" display="Завантажити сертифікат"/>
    <hyperlink ref="F825" r:id="rId815" tooltip="Завантажити сертифікат" display="Завантажити сертифікат"/>
    <hyperlink ref="F826" r:id="rId816" tooltip="Завантажити сертифікат" display="Завантажити сертифікат"/>
    <hyperlink ref="F827" r:id="rId817" tooltip="Завантажити сертифікат" display="Завантажити сертифікат"/>
    <hyperlink ref="F828" r:id="rId818" tooltip="Завантажити сертифікат" display="Завантажити сертифікат"/>
    <hyperlink ref="F829" r:id="rId819" tooltip="Завантажити сертифікат" display="Завантажити сертифікат"/>
    <hyperlink ref="F830" r:id="rId820" tooltip="Завантажити сертифікат" display="Завантажити сертифікат"/>
    <hyperlink ref="F831" r:id="rId821" tooltip="Завантажити сертифікат" display="Завантажити сертифікат"/>
    <hyperlink ref="F832" r:id="rId822" tooltip="Завантажити сертифікат" display="Завантажити сертифікат"/>
    <hyperlink ref="F833" r:id="rId823" tooltip="Завантажити сертифікат" display="Завантажити сертифікат"/>
    <hyperlink ref="F834" r:id="rId824" tooltip="Завантажити сертифікат" display="Завантажити сертифікат"/>
    <hyperlink ref="F835" r:id="rId825" tooltip="Завантажити сертифікат" display="Завантажити сертифікат"/>
    <hyperlink ref="F836" r:id="rId826" tooltip="Завантажити сертифікат" display="Завантажити сертифікат"/>
    <hyperlink ref="F837" r:id="rId827" tooltip="Завантажити сертифікат" display="Завантажити сертифікат"/>
    <hyperlink ref="F838" r:id="rId828" tooltip="Завантажити сертифікат" display="Завантажити сертифікат"/>
    <hyperlink ref="F839" r:id="rId829" tooltip="Завантажити сертифікат" display="Завантажити сертифікат"/>
    <hyperlink ref="F840" r:id="rId830" tooltip="Завантажити сертифікат" display="Завантажити сертифікат"/>
    <hyperlink ref="F841" r:id="rId831" tooltip="Завантажити сертифікат" display="Завантажити сертифікат"/>
    <hyperlink ref="F842" r:id="rId832" tooltip="Завантажити сертифікат" display="Завантажити сертифікат"/>
    <hyperlink ref="F843" r:id="rId833" tooltip="Завантажити сертифікат" display="Завантажити сертифікат"/>
    <hyperlink ref="F844" r:id="rId834" tooltip="Завантажити сертифікат" display="Завантажити сертифікат"/>
    <hyperlink ref="F845" r:id="rId835" tooltip="Завантажити сертифікат" display="Завантажити сертифікат"/>
    <hyperlink ref="F846" r:id="rId836" tooltip="Завантажити сертифікат" display="Завантажити сертифікат"/>
    <hyperlink ref="F847" r:id="rId837" tooltip="Завантажити сертифікат" display="Завантажити сертифікат"/>
    <hyperlink ref="F848" r:id="rId838" tooltip="Завантажити сертифікат" display="Завантажити сертифікат"/>
    <hyperlink ref="F849" r:id="rId839" tooltip="Завантажити сертифікат" display="Завантажити сертифікат"/>
    <hyperlink ref="F850" r:id="rId840" tooltip="Завантажити сертифікат" display="Завантажити сертифікат"/>
    <hyperlink ref="F851" r:id="rId841" tooltip="Завантажити сертифікат" display="Завантажити сертифікат"/>
    <hyperlink ref="F852" r:id="rId842" tooltip="Завантажити сертифікат" display="Завантажити сертифікат"/>
    <hyperlink ref="F853" r:id="rId843" tooltip="Завантажити сертифікат" display="Завантажити сертифікат"/>
    <hyperlink ref="F854" r:id="rId844" tooltip="Завантажити сертифікат" display="Завантажити сертифікат"/>
    <hyperlink ref="F855" r:id="rId845" tooltip="Завантажити сертифікат" display="Завантажити сертифікат"/>
    <hyperlink ref="F856" r:id="rId846" tooltip="Завантажити сертифікат" display="Завантажити сертифікат"/>
    <hyperlink ref="F857" r:id="rId847" tooltip="Завантажити сертифікат" display="Завантажити сертифікат"/>
    <hyperlink ref="F858" r:id="rId848" tooltip="Завантажити сертифікат" display="Завантажити сертифікат"/>
    <hyperlink ref="F859" r:id="rId849" tooltip="Завантажити сертифікат" display="Завантажити сертифікат"/>
    <hyperlink ref="F860" r:id="rId850" tooltip="Завантажити сертифікат" display="Завантажити сертифікат"/>
    <hyperlink ref="F861" r:id="rId851" tooltip="Завантажити сертифікат" display="Завантажити сертифікат"/>
    <hyperlink ref="F862" r:id="rId852" tooltip="Завантажити сертифікат" display="Завантажити сертифікат"/>
    <hyperlink ref="F863" r:id="rId853" tooltip="Завантажити сертифікат" display="Завантажити сертифікат"/>
    <hyperlink ref="F864" r:id="rId854" tooltip="Завантажити сертифікат" display="Завантажити сертифікат"/>
    <hyperlink ref="F865" r:id="rId855" tooltip="Завантажити сертифікат" display="Завантажити сертифікат"/>
    <hyperlink ref="F866" r:id="rId856" tooltip="Завантажити сертифікат" display="Завантажити сертифікат"/>
    <hyperlink ref="F867" r:id="rId857" tooltip="Завантажити сертифікат" display="Завантажити сертифікат"/>
    <hyperlink ref="F868" r:id="rId858" tooltip="Завантажити сертифікат" display="Завантажити сертифікат"/>
    <hyperlink ref="F869" r:id="rId859" tooltip="Завантажити сертифікат" display="Завантажити сертифікат"/>
    <hyperlink ref="F870" r:id="rId860" tooltip="Завантажити сертифікат" display="Завантажити сертифікат"/>
    <hyperlink ref="F871" r:id="rId861" tooltip="Завантажити сертифікат" display="Завантажити сертифікат"/>
    <hyperlink ref="F872" r:id="rId862" tooltip="Завантажити сертифікат" display="Завантажити сертифікат"/>
    <hyperlink ref="F873" r:id="rId863" tooltip="Завантажити сертифікат" display="Завантажити сертифікат"/>
    <hyperlink ref="F874" r:id="rId864" tooltip="Завантажити сертифікат" display="Завантажити сертифікат"/>
    <hyperlink ref="F875" r:id="rId865" tooltip="Завантажити сертифікат" display="Завантажити сертифікат"/>
    <hyperlink ref="F876" r:id="rId866" tooltip="Завантажити сертифікат" display="Завантажити сертифікат"/>
    <hyperlink ref="F877" r:id="rId867" tooltip="Завантажити сертифікат" display="Завантажити сертифікат"/>
    <hyperlink ref="F878" r:id="rId868" tooltip="Завантажити сертифікат" display="Завантажити сертифікат"/>
    <hyperlink ref="F879" r:id="rId869" tooltip="Завантажити сертифікат" display="Завантажити сертифікат"/>
    <hyperlink ref="F880" r:id="rId870" tooltip="Завантажити сертифікат" display="Завантажити сертифікат"/>
    <hyperlink ref="F881" r:id="rId871" tooltip="Завантажити сертифікат" display="Завантажити сертифікат"/>
    <hyperlink ref="F882" r:id="rId872" tooltip="Завантажити сертифікат" display="Завантажити сертифікат"/>
    <hyperlink ref="F883" r:id="rId873" tooltip="Завантажити сертифікат" display="Завантажити сертифікат"/>
    <hyperlink ref="F884" r:id="rId874" tooltip="Завантажити сертифікат" display="Завантажити сертифікат"/>
    <hyperlink ref="F885" r:id="rId875" tooltip="Завантажити сертифікат" display="Завантажити сертифікат"/>
    <hyperlink ref="F886" r:id="rId876" tooltip="Завантажити сертифікат" display="Завантажити сертифікат"/>
    <hyperlink ref="F887" r:id="rId877" tooltip="Завантажити сертифікат" display="Завантажити сертифікат"/>
    <hyperlink ref="F888" r:id="rId878" tooltip="Завантажити сертифікат" display="Завантажити сертифікат"/>
    <hyperlink ref="F889" r:id="rId879" tooltip="Завантажити сертифікат" display="Завантажити сертифікат"/>
    <hyperlink ref="F890" r:id="rId880" tooltip="Завантажити сертифікат" display="Завантажити сертифікат"/>
    <hyperlink ref="F891" r:id="rId881" tooltip="Завантажити сертифікат" display="Завантажити сертифікат"/>
    <hyperlink ref="F892" r:id="rId882" tooltip="Завантажити сертифікат" display="Завантажити сертифікат"/>
    <hyperlink ref="F893" r:id="rId883" tooltip="Завантажити сертифікат" display="Завантажити сертифікат"/>
    <hyperlink ref="F894" r:id="rId884" tooltip="Завантажити сертифікат" display="Завантажити сертифікат"/>
    <hyperlink ref="F895" r:id="rId885" tooltip="Завантажити сертифікат" display="Завантажити сертифікат"/>
    <hyperlink ref="F896" r:id="rId886" tooltip="Завантажити сертифікат" display="Завантажити сертифікат"/>
    <hyperlink ref="F897" r:id="rId887" tooltip="Завантажити сертифікат" display="Завантажити сертифікат"/>
    <hyperlink ref="F898" r:id="rId888" tooltip="Завантажити сертифікат" display="Завантажити сертифікат"/>
    <hyperlink ref="F899" r:id="rId889" tooltip="Завантажити сертифікат" display="Завантажити сертифікат"/>
    <hyperlink ref="F900" r:id="rId890" tooltip="Завантажити сертифікат" display="Завантажити сертифікат"/>
    <hyperlink ref="F901" r:id="rId891" tooltip="Завантажити сертифікат" display="Завантажити сертифікат"/>
    <hyperlink ref="F902" r:id="rId892" tooltip="Завантажити сертифікат" display="Завантажити сертифікат"/>
    <hyperlink ref="F903" r:id="rId893" tooltip="Завантажити сертифікат" display="Завантажити сертифікат"/>
    <hyperlink ref="F904" r:id="rId894" tooltip="Завантажити сертифікат" display="Завантажити сертифікат"/>
    <hyperlink ref="F905" r:id="rId895" tooltip="Завантажити сертифікат" display="Завантажити сертифікат"/>
    <hyperlink ref="F906" r:id="rId896" tooltip="Завантажити сертифікат" display="Завантажити сертифікат"/>
    <hyperlink ref="F907" r:id="rId897" tooltip="Завантажити сертифікат" display="Завантажити сертифікат"/>
    <hyperlink ref="F908" r:id="rId898" tooltip="Завантажити сертифікат" display="Завантажити сертифікат"/>
    <hyperlink ref="F909" r:id="rId899" tooltip="Завантажити сертифікат" display="Завантажити сертифікат"/>
    <hyperlink ref="F910" r:id="rId900" tooltip="Завантажити сертифікат" display="Завантажити сертифікат"/>
    <hyperlink ref="F911" r:id="rId901" tooltip="Завантажити сертифікат" display="Завантажити сертифікат"/>
    <hyperlink ref="F912" r:id="rId902" tooltip="Завантажити сертифікат" display="Завантажити сертифікат"/>
    <hyperlink ref="F913" r:id="rId903" tooltip="Завантажити сертифікат" display="Завантажити сертифікат"/>
    <hyperlink ref="F914" r:id="rId904" tooltip="Завантажити сертифікат" display="Завантажити сертифікат"/>
    <hyperlink ref="F915" r:id="rId905" tooltip="Завантажити сертифікат" display="Завантажити сертифікат"/>
    <hyperlink ref="F916" r:id="rId906" tooltip="Завантажити сертифікат" display="Завантажити сертифікат"/>
    <hyperlink ref="F917" r:id="rId907" tooltip="Завантажити сертифікат" display="Завантажити сертифікат"/>
    <hyperlink ref="F918" r:id="rId908" tooltip="Завантажити сертифікат" display="Завантажити сертифікат"/>
    <hyperlink ref="F919" r:id="rId909" tooltip="Завантажити сертифікат" display="Завантажити сертифікат"/>
    <hyperlink ref="F920" r:id="rId910" tooltip="Завантажити сертифікат" display="Завантажити сертифікат"/>
    <hyperlink ref="F921" r:id="rId911" tooltip="Завантажити сертифікат" display="Завантажити сертифікат"/>
    <hyperlink ref="F922" r:id="rId912" tooltip="Завантажити сертифікат" display="Завантажити сертифікат"/>
    <hyperlink ref="F923" r:id="rId913" tooltip="Завантажити сертифікат" display="Завантажити сертифікат"/>
    <hyperlink ref="F924" r:id="rId914" tooltip="Завантажити сертифікат" display="Завантажити сертифікат"/>
    <hyperlink ref="F925" r:id="rId915" tooltip="Завантажити сертифікат" display="Завантажити сертифікат"/>
    <hyperlink ref="F926" r:id="rId916" tooltip="Завантажити сертифікат" display="Завантажити сертифікат"/>
    <hyperlink ref="F927" r:id="rId917" tooltip="Завантажити сертифікат" display="Завантажити сертифікат"/>
    <hyperlink ref="F928" r:id="rId918" tooltip="Завантажити сертифікат" display="Завантажити сертифікат"/>
    <hyperlink ref="F929" r:id="rId919" tooltip="Завантажити сертифікат" display="Завантажити сертифікат"/>
    <hyperlink ref="F930" r:id="rId920" tooltip="Завантажити сертифікат" display="Завантажити сертифікат"/>
    <hyperlink ref="F931" r:id="rId921" tooltip="Завантажити сертифікат" display="Завантажити сертифікат"/>
    <hyperlink ref="F932" r:id="rId922" tooltip="Завантажити сертифікат" display="Завантажити сертифікат"/>
    <hyperlink ref="F933" r:id="rId923" tooltip="Завантажити сертифікат" display="Завантажити сертифікат"/>
    <hyperlink ref="F934" r:id="rId924" tooltip="Завантажити сертифікат" display="Завантажити сертифікат"/>
    <hyperlink ref="F935" r:id="rId925" tooltip="Завантажити сертифікат" display="Завантажити сертифікат"/>
    <hyperlink ref="F936" r:id="rId926" tooltip="Завантажити сертифікат" display="Завантажити сертифікат"/>
    <hyperlink ref="F937" r:id="rId927" tooltip="Завантажити сертифікат" display="Завантажити сертифікат"/>
    <hyperlink ref="F938" r:id="rId928" tooltip="Завантажити сертифікат" display="Завантажити сертифікат"/>
    <hyperlink ref="F939" r:id="rId929" tooltip="Завантажити сертифікат" display="Завантажити сертифікат"/>
    <hyperlink ref="F940" r:id="rId930" tooltip="Завантажити сертифікат" display="Завантажити сертифікат"/>
    <hyperlink ref="F941" r:id="rId931" tooltip="Завантажити сертифікат" display="Завантажити сертифікат"/>
    <hyperlink ref="F942" r:id="rId932" tooltip="Завантажити сертифікат" display="Завантажити сертифікат"/>
    <hyperlink ref="F943" r:id="rId933" tooltip="Завантажити сертифікат" display="Завантажити сертифікат"/>
    <hyperlink ref="F944" r:id="rId934" tooltip="Завантажити сертифікат" display="Завантажити сертифікат"/>
    <hyperlink ref="F945" r:id="rId935" tooltip="Завантажити сертифікат" display="Завантажити сертифікат"/>
    <hyperlink ref="F946" r:id="rId936" tooltip="Завантажити сертифікат" display="Завантажити сертифікат"/>
    <hyperlink ref="F947" r:id="rId937" tooltip="Завантажити сертифікат" display="Завантажити сертифікат"/>
    <hyperlink ref="F948" r:id="rId938" tooltip="Завантажити сертифікат" display="Завантажити сертифікат"/>
    <hyperlink ref="F949" r:id="rId939" tooltip="Завантажити сертифікат" display="Завантажити сертифікат"/>
    <hyperlink ref="F950" r:id="rId940" tooltip="Завантажити сертифікат" display="Завантажити сертифікат"/>
    <hyperlink ref="F951" r:id="rId941" tooltip="Завантажити сертифікат" display="Завантажити сертифікат"/>
    <hyperlink ref="F952" r:id="rId942" tooltip="Завантажити сертифікат" display="Завантажити сертифікат"/>
    <hyperlink ref="F953" r:id="rId943" tooltip="Завантажити сертифікат" display="Завантажити сертифікат"/>
    <hyperlink ref="F954" r:id="rId944" tooltip="Завантажити сертифікат" display="Завантажити сертифікат"/>
    <hyperlink ref="F955" r:id="rId945" tooltip="Завантажити сертифікат" display="Завантажити сертифікат"/>
    <hyperlink ref="F956" r:id="rId946" tooltip="Завантажити сертифікат" display="Завантажити сертифікат"/>
    <hyperlink ref="F957" r:id="rId947" tooltip="Завантажити сертифікат" display="Завантажити сертифікат"/>
    <hyperlink ref="F958" r:id="rId948" tooltip="Завантажити сертифікат" display="Завантажити сертифікат"/>
    <hyperlink ref="F959" r:id="rId949" tooltip="Завантажити сертифікат" display="Завантажити сертифікат"/>
    <hyperlink ref="F960" r:id="rId950" tooltip="Завантажити сертифікат" display="Завантажити сертифікат"/>
    <hyperlink ref="F961" r:id="rId951" tooltip="Завантажити сертифікат" display="Завантажити сертифікат"/>
    <hyperlink ref="F962" r:id="rId952" tooltip="Завантажити сертифікат" display="Завантажити сертифікат"/>
    <hyperlink ref="F963" r:id="rId953" tooltip="Завантажити сертифікат" display="Завантажити сертифікат"/>
    <hyperlink ref="F964" r:id="rId954" tooltip="Завантажити сертифікат" display="Завантажити сертифікат"/>
    <hyperlink ref="F965" r:id="rId955" tooltip="Завантажити сертифікат" display="Завантажити сертифікат"/>
    <hyperlink ref="F966" r:id="rId956" tooltip="Завантажити сертифікат" display="Завантажити сертифікат"/>
    <hyperlink ref="F967" r:id="rId957" tooltip="Завантажити сертифікат" display="Завантажити сертифікат"/>
    <hyperlink ref="F968" r:id="rId958" tooltip="Завантажити сертифікат" display="Завантажити сертифікат"/>
    <hyperlink ref="F969" r:id="rId959" tooltip="Завантажити сертифікат" display="Завантажити сертифікат"/>
    <hyperlink ref="F970" r:id="rId960" tooltip="Завантажити сертифікат" display="Завантажити сертифікат"/>
    <hyperlink ref="F971" r:id="rId961" tooltip="Завантажити сертифікат" display="Завантажити сертифікат"/>
    <hyperlink ref="F972" r:id="rId962" tooltip="Завантажити сертифікат" display="Завантажити сертифікат"/>
    <hyperlink ref="F973" r:id="rId963" tooltip="Завантажити сертифікат" display="Завантажити сертифікат"/>
    <hyperlink ref="F974" r:id="rId964" tooltip="Завантажити сертифікат" display="Завантажити сертифікат"/>
    <hyperlink ref="F975" r:id="rId965" tooltip="Завантажити сертифікат" display="Завантажити сертифікат"/>
    <hyperlink ref="F976" r:id="rId966" tooltip="Завантажити сертифікат" display="Завантажити сертифікат"/>
    <hyperlink ref="F977" r:id="rId967" tooltip="Завантажити сертифікат" display="Завантажити сертифікат"/>
    <hyperlink ref="F978" r:id="rId968" tooltip="Завантажити сертифікат" display="Завантажити сертифікат"/>
    <hyperlink ref="F979" r:id="rId969" tooltip="Завантажити сертифікат" display="Завантажити сертифікат"/>
    <hyperlink ref="F980" r:id="rId970" tooltip="Завантажити сертифікат" display="Завантажити сертифікат"/>
    <hyperlink ref="F981" r:id="rId971" tooltip="Завантажити сертифікат" display="Завантажити сертифікат"/>
    <hyperlink ref="F982" r:id="rId972" tooltip="Завантажити сертифікат" display="Завантажити сертифікат"/>
    <hyperlink ref="F983" r:id="rId973" tooltip="Завантажити сертифікат" display="Завантажити сертифікат"/>
    <hyperlink ref="F984" r:id="rId974" tooltip="Завантажити сертифікат" display="Завантажити сертифікат"/>
    <hyperlink ref="F985" r:id="rId975" tooltip="Завантажити сертифікат" display="Завантажити сертифікат"/>
    <hyperlink ref="F986" r:id="rId976" tooltip="Завантажити сертифікат" display="Завантажити сертифікат"/>
    <hyperlink ref="F987" r:id="rId977" tooltip="Завантажити сертифікат" display="Завантажити сертифікат"/>
    <hyperlink ref="F988" r:id="rId978" tooltip="Завантажити сертифікат" display="Завантажити сертифікат"/>
    <hyperlink ref="F989" r:id="rId979" tooltip="Завантажити сертифікат" display="Завантажити сертифікат"/>
    <hyperlink ref="F990" r:id="rId980" tooltip="Завантажити сертифікат" display="Завантажити сертифікат"/>
    <hyperlink ref="F991" r:id="rId981" tooltip="Завантажити сертифікат" display="Завантажити сертифікат"/>
    <hyperlink ref="F992" r:id="rId982" tooltip="Завантажити сертифікат" display="Завантажити сертифікат"/>
    <hyperlink ref="F993" r:id="rId983" tooltip="Завантажити сертифікат" display="Завантажити сертифікат"/>
    <hyperlink ref="F994" r:id="rId984" tooltip="Завантажити сертифікат" display="Завантажити сертифікат"/>
    <hyperlink ref="F995" r:id="rId985" tooltip="Завантажити сертифікат" display="Завантажити сертифікат"/>
    <hyperlink ref="F996" r:id="rId986" tooltip="Завантажити сертифікат" display="Завантажити сертифікат"/>
    <hyperlink ref="F997" r:id="rId987" tooltip="Завантажити сертифікат" display="Завантажити сертифікат"/>
    <hyperlink ref="F998" r:id="rId988" tooltip="Завантажити сертифікат" display="Завантажити сертифікат"/>
    <hyperlink ref="F999" r:id="rId989" tooltip="Завантажити сертифікат" display="Завантажити сертифікат"/>
    <hyperlink ref="F1000" r:id="rId990" tooltip="Завантажити сертифікат" display="Завантажити сертифікат"/>
    <hyperlink ref="F1001" r:id="rId991" tooltip="Завантажити сертифікат" display="Завантажити сертифікат"/>
    <hyperlink ref="F1002" r:id="rId992" tooltip="Завантажити сертифікат" display="Завантажити сертифікат"/>
    <hyperlink ref="F1003" r:id="rId993" tooltip="Завантажити сертифікат" display="Завантажити сертифікат"/>
    <hyperlink ref="F1004" r:id="rId994" tooltip="Завантажити сертифікат" display="Завантажити сертифікат"/>
    <hyperlink ref="F1005" r:id="rId995" tooltip="Завантажити сертифікат" display="Завантажити сертифікат"/>
    <hyperlink ref="F1006" r:id="rId996" tooltip="Завантажити сертифікат" display="Завантажити сертифікат"/>
    <hyperlink ref="F1007" r:id="rId997" tooltip="Завантажити сертифікат" display="Завантажити сертифікат"/>
    <hyperlink ref="F1008" r:id="rId998" tooltip="Завантажити сертифікат" display="Завантажити сертифікат"/>
    <hyperlink ref="F1009" r:id="rId999" tooltip="Завантажити сертифікат" display="Завантажити сертифікат"/>
    <hyperlink ref="F1010" r:id="rId1000" tooltip="Завантажити сертифікат" display="Завантажити сертифікат"/>
    <hyperlink ref="F1011" r:id="rId1001" tooltip="Завантажити сертифікат" display="Завантажити сертифікат"/>
    <hyperlink ref="F1012" r:id="rId1002" tooltip="Завантажити сертифікат" display="Завантажити сертифікат"/>
    <hyperlink ref="F1013" r:id="rId1003" tooltip="Завантажити сертифікат" display="Завантажити сертифікат"/>
    <hyperlink ref="F1014" r:id="rId1004" tooltip="Завантажити сертифікат" display="Завантажити сертифікат"/>
    <hyperlink ref="F1015" r:id="rId1005" tooltip="Завантажити сертифікат" display="Завантажити сертифікат"/>
    <hyperlink ref="F1016" r:id="rId1006" tooltip="Завантажити сертифікат" display="Завантажити сертифікат"/>
    <hyperlink ref="F1017" r:id="rId1007" tooltip="Завантажити сертифікат" display="Завантажити сертифікат"/>
    <hyperlink ref="F1018" r:id="rId1008" tooltip="Завантажити сертифікат" display="Завантажити сертифікат"/>
    <hyperlink ref="F1019" r:id="rId1009" tooltip="Завантажити сертифікат" display="Завантажити сертифікат"/>
    <hyperlink ref="F1020" r:id="rId1010" tooltip="Завантажити сертифікат" display="Завантажити сертифікат"/>
    <hyperlink ref="F1021" r:id="rId1011" tooltip="Завантажити сертифікат" display="Завантажити сертифікат"/>
    <hyperlink ref="F1022" r:id="rId1012" tooltip="Завантажити сертифікат" display="Завантажити сертифікат"/>
    <hyperlink ref="F1023" r:id="rId1013" tooltip="Завантажити сертифікат" display="Завантажити сертифікат"/>
    <hyperlink ref="F1024" r:id="rId1014" tooltip="Завантажити сертифікат" display="Завантажити сертифікат"/>
    <hyperlink ref="F1025" r:id="rId1015" tooltip="Завантажити сертифікат" display="Завантажити сертифікат"/>
    <hyperlink ref="F1026" r:id="rId1016" tooltip="Завантажити сертифікат" display="Завантажити сертифікат"/>
    <hyperlink ref="F1027" r:id="rId1017" tooltip="Завантажити сертифікат" display="Завантажити сертифікат"/>
    <hyperlink ref="F1028" r:id="rId1018" tooltip="Завантажити сертифікат" display="Завантажити сертифікат"/>
    <hyperlink ref="F1029" r:id="rId1019" tooltip="Завантажити сертифікат" display="Завантажити сертифікат"/>
    <hyperlink ref="F1030" r:id="rId1020" tooltip="Завантажити сертифікат" display="Завантажити сертифікат"/>
    <hyperlink ref="F1031" r:id="rId1021" tooltip="Завантажити сертифікат" display="Завантажити сертифікат"/>
    <hyperlink ref="F1032" r:id="rId1022" tooltip="Завантажити сертифікат" display="Завантажити сертифікат"/>
    <hyperlink ref="F1033" r:id="rId1023" tooltip="Завантажити сертифікат" display="Завантажити сертифікат"/>
    <hyperlink ref="F1034" r:id="rId1024" tooltip="Завантажити сертифікат" display="Завантажити сертифікат"/>
    <hyperlink ref="F1035" r:id="rId1025" tooltip="Завантажити сертифікат" display="Завантажити сертифікат"/>
    <hyperlink ref="F1036" r:id="rId1026" tooltip="Завантажити сертифікат" display="Завантажити сертифікат"/>
    <hyperlink ref="F1037" r:id="rId1027" tooltip="Завантажити сертифікат" display="Завантажити сертифікат"/>
    <hyperlink ref="F1038" r:id="rId1028" tooltip="Завантажити сертифікат" display="Завантажити сертифікат"/>
    <hyperlink ref="F1039" r:id="rId1029" tooltip="Завантажити сертифікат" display="Завантажити сертифікат"/>
    <hyperlink ref="F1040" r:id="rId1030" tooltip="Завантажити сертифікат" display="Завантажити сертифікат"/>
    <hyperlink ref="F1041" r:id="rId1031" tooltip="Завантажити сертифікат" display="Завантажити сертифікат"/>
    <hyperlink ref="F1042" r:id="rId1032" tooltip="Завантажити сертифікат" display="Завантажити сертифікат"/>
    <hyperlink ref="F1043" r:id="rId1033" tooltip="Завантажити сертифікат" display="Завантажити сертифікат"/>
    <hyperlink ref="F1044" r:id="rId1034" tooltip="Завантажити сертифікат" display="Завантажити сертифікат"/>
    <hyperlink ref="F1045" r:id="rId1035" tooltip="Завантажити сертифікат" display="Завантажити сертифікат"/>
    <hyperlink ref="F1046" r:id="rId1036" tooltip="Завантажити сертифікат" display="Завантажити сертифікат"/>
    <hyperlink ref="F1047" r:id="rId1037" tooltip="Завантажити сертифікат" display="Завантажити сертифікат"/>
    <hyperlink ref="F1048" r:id="rId1038" tooltip="Завантажити сертифікат" display="Завантажити сертифікат"/>
    <hyperlink ref="F1049" r:id="rId1039" tooltip="Завантажити сертифікат" display="Завантажити сертифікат"/>
    <hyperlink ref="F1050" r:id="rId1040" tooltip="Завантажити сертифікат" display="Завантажити сертифікат"/>
    <hyperlink ref="F1051" r:id="rId1041" tooltip="Завантажити сертифікат" display="Завантажити сертифікат"/>
    <hyperlink ref="F1052" r:id="rId1042" tooltip="Завантажити сертифікат" display="Завантажити сертифікат"/>
    <hyperlink ref="F1053" r:id="rId1043" tooltip="Завантажити сертифікат" display="Завантажити сертифікат"/>
    <hyperlink ref="F1054" r:id="rId1044" tooltip="Завантажити сертифікат" display="Завантажити сертифікат"/>
    <hyperlink ref="F1055" r:id="rId1045" tooltip="Завантажити сертифікат" display="Завантажити сертифікат"/>
    <hyperlink ref="F1056" r:id="rId1046" tooltip="Завантажити сертифікат" display="Завантажити сертифікат"/>
    <hyperlink ref="F1057" r:id="rId1047" tooltip="Завантажити сертифікат" display="Завантажити сертифікат"/>
    <hyperlink ref="F1058" r:id="rId1048" tooltip="Завантажити сертифікат" display="Завантажити сертифікат"/>
    <hyperlink ref="F1059" r:id="rId1049" tooltip="Завантажити сертифікат" display="Завантажити сертифікат"/>
    <hyperlink ref="F1060" r:id="rId1050" tooltip="Завантажити сертифікат" display="Завантажити сертифікат"/>
    <hyperlink ref="F1061" r:id="rId1051" tooltip="Завантажити сертифікат" display="Завантажити сертифікат"/>
    <hyperlink ref="F1062" r:id="rId1052" tooltip="Завантажити сертифікат" display="Завантажити сертифікат"/>
    <hyperlink ref="F1063" r:id="rId1053" tooltip="Завантажити сертифікат" display="Завантажити сертифікат"/>
    <hyperlink ref="F1064" r:id="rId1054" tooltip="Завантажити сертифікат" display="Завантажити сертифікат"/>
    <hyperlink ref="F1065" r:id="rId1055" tooltip="Завантажити сертифікат" display="Завантажити сертифікат"/>
    <hyperlink ref="F1066" r:id="rId1056" tooltip="Завантажити сертифікат" display="Завантажити сертифікат"/>
    <hyperlink ref="F1067" r:id="rId1057" tooltip="Завантажити сертифікат" display="Завантажити сертифікат"/>
    <hyperlink ref="F1068" r:id="rId1058" tooltip="Завантажити сертифікат" display="Завантажити сертифікат"/>
    <hyperlink ref="F1069" r:id="rId1059" tooltip="Завантажити сертифікат" display="Завантажити сертифікат"/>
    <hyperlink ref="F1070" r:id="rId1060" tooltip="Завантажити сертифікат" display="Завантажити сертифікат"/>
    <hyperlink ref="F1071" r:id="rId1061" tooltip="Завантажити сертифікат" display="Завантажити сертифікат"/>
    <hyperlink ref="F1072" r:id="rId1062" tooltip="Завантажити сертифікат" display="Завантажити сертифікат"/>
    <hyperlink ref="F1073" r:id="rId1063" tooltip="Завантажити сертифікат" display="Завантажити сертифікат"/>
    <hyperlink ref="F1074" r:id="rId1064" tooltip="Завантажити сертифікат" display="Завантажити сертифікат"/>
    <hyperlink ref="F1075" r:id="rId1065" tooltip="Завантажити сертифікат" display="Завантажити сертифікат"/>
    <hyperlink ref="F1076" r:id="rId1066" tooltip="Завантажити сертифікат" display="Завантажити сертифікат"/>
    <hyperlink ref="F1077" r:id="rId1067" tooltip="Завантажити сертифікат" display="Завантажити сертифікат"/>
    <hyperlink ref="F1078" r:id="rId1068" tooltip="Завантажити сертифікат" display="Завантажити сертифікат"/>
    <hyperlink ref="F1079" r:id="rId1069" tooltip="Завантажити сертифікат" display="Завантажити сертифікат"/>
    <hyperlink ref="F1080" r:id="rId1070" tooltip="Завантажити сертифікат" display="Завантажити сертифікат"/>
    <hyperlink ref="F1081" r:id="rId1071" tooltip="Завантажити сертифікат" display="Завантажити сертифікат"/>
    <hyperlink ref="F1082" r:id="rId1072" tooltip="Завантажити сертифікат" display="Завантажити сертифікат"/>
    <hyperlink ref="F1083" r:id="rId1073" tooltip="Завантажити сертифікат" display="Завантажити сертифікат"/>
    <hyperlink ref="F1084" r:id="rId1074" tooltip="Завантажити сертифікат" display="Завантажити сертифікат"/>
    <hyperlink ref="F1085" r:id="rId1075" tooltip="Завантажити сертифікат" display="Завантажити сертифікат"/>
    <hyperlink ref="F1086" r:id="rId1076" tooltip="Завантажити сертифікат" display="Завантажити сертифікат"/>
    <hyperlink ref="F1087" r:id="rId1077" tooltip="Завантажити сертифікат" display="Завантажити сертифікат"/>
    <hyperlink ref="F1088" r:id="rId1078" tooltip="Завантажити сертифікат" display="Завантажити сертифікат"/>
    <hyperlink ref="F1089" r:id="rId1079" tooltip="Завантажити сертифікат" display="Завантажити сертифікат"/>
    <hyperlink ref="F1090" r:id="rId1080" tooltip="Завантажити сертифікат" display="Завантажити сертифікат"/>
    <hyperlink ref="F1091" r:id="rId1081" tooltip="Завантажити сертифікат" display="Завантажити сертифікат"/>
    <hyperlink ref="F1092" r:id="rId1082" tooltip="Завантажити сертифікат" display="Завантажити сертифікат"/>
    <hyperlink ref="F1093" r:id="rId1083" tooltip="Завантажити сертифікат" display="Завантажити сертифікат"/>
    <hyperlink ref="F1094" r:id="rId1084" tooltip="Завантажити сертифікат" display="Завантажити сертифікат"/>
    <hyperlink ref="F1095" r:id="rId1085" tooltip="Завантажити сертифікат" display="Завантажити сертифікат"/>
    <hyperlink ref="F1096" r:id="rId1086" tooltip="Завантажити сертифікат" display="Завантажити сертифікат"/>
    <hyperlink ref="F1097" r:id="rId1087" tooltip="Завантажити сертифікат" display="Завантажити сертифікат"/>
    <hyperlink ref="F1098" r:id="rId1088" tooltip="Завантажити сертифікат" display="Завантажити сертифікат"/>
    <hyperlink ref="F1099" r:id="rId1089" tooltip="Завантажити сертифікат" display="Завантажити сертифікат"/>
    <hyperlink ref="F1100" r:id="rId1090" tooltip="Завантажити сертифікат" display="Завантажити сертифікат"/>
    <hyperlink ref="F1101" r:id="rId1091" tooltip="Завантажити сертифікат" display="Завантажити сертифікат"/>
    <hyperlink ref="F1102" r:id="rId1092" tooltip="Завантажити сертифікат" display="Завантажити сертифікат"/>
    <hyperlink ref="F1103" r:id="rId1093" tooltip="Завантажити сертифікат" display="Завантажити сертифікат"/>
    <hyperlink ref="F1104" r:id="rId1094" tooltip="Завантажити сертифікат" display="Завантажити сертифікат"/>
    <hyperlink ref="F1105" r:id="rId1095" tooltip="Завантажити сертифікат" display="Завантажити сертифікат"/>
    <hyperlink ref="F1106" r:id="rId1096" tooltip="Завантажити сертифікат" display="Завантажити сертифікат"/>
    <hyperlink ref="F1107" r:id="rId1097" tooltip="Завантажити сертифікат" display="Завантажити сертифікат"/>
    <hyperlink ref="F1108" r:id="rId1098" tooltip="Завантажити сертифікат" display="Завантажити сертифікат"/>
    <hyperlink ref="F1109" r:id="rId1099" tooltip="Завантажити сертифікат" display="Завантажити сертифікат"/>
    <hyperlink ref="F1110" r:id="rId1100" tooltip="Завантажити сертифікат" display="Завантажити сертифікат"/>
    <hyperlink ref="F1111" r:id="rId1101" tooltip="Завантажити сертифікат" display="Завантажити сертифікат"/>
    <hyperlink ref="F1112" r:id="rId1102" tooltip="Завантажити сертифікат" display="Завантажити сертифікат"/>
    <hyperlink ref="F1113" r:id="rId1103" tooltip="Завантажити сертифікат" display="Завантажити сертифікат"/>
    <hyperlink ref="F1114" r:id="rId1104" tooltip="Завантажити сертифікат" display="Завантажити сертифікат"/>
    <hyperlink ref="F1115" r:id="rId1105" tooltip="Завантажити сертифікат" display="Завантажити сертифікат"/>
    <hyperlink ref="F1116" r:id="rId1106" tooltip="Завантажити сертифікат" display="Завантажити сертифікат"/>
    <hyperlink ref="F1117" r:id="rId1107" tooltip="Завантажити сертифікат" display="Завантажити сертифікат"/>
    <hyperlink ref="F1118" r:id="rId1108" tooltip="Завантажити сертифікат" display="Завантажити сертифікат"/>
    <hyperlink ref="F1119" r:id="rId1109" tooltip="Завантажити сертифікат" display="Завантажити сертифікат"/>
    <hyperlink ref="F1120" r:id="rId1110" tooltip="Завантажити сертифікат" display="Завантажити сертифікат"/>
    <hyperlink ref="F1121" r:id="rId1111" tooltip="Завантажити сертифікат" display="Завантажити сертифікат"/>
    <hyperlink ref="F1122" r:id="rId1112" tooltip="Завантажити сертифікат" display="Завантажити сертифікат"/>
    <hyperlink ref="F1123" r:id="rId1113" tooltip="Завантажити сертифікат" display="Завантажити сертифікат"/>
    <hyperlink ref="F1124" r:id="rId1114" tooltip="Завантажити сертифікат" display="Завантажити сертифікат"/>
    <hyperlink ref="F1125" r:id="rId1115" tooltip="Завантажити сертифікат" display="Завантажити сертифікат"/>
    <hyperlink ref="F1126" r:id="rId1116" tooltip="Завантажити сертифікат" display="Завантажити сертифікат"/>
    <hyperlink ref="F1127" r:id="rId1117" tooltip="Завантажити сертифікат" display="Завантажити сертифікат"/>
    <hyperlink ref="F1128" r:id="rId1118" tooltip="Завантажити сертифікат" display="Завантажити сертифікат"/>
    <hyperlink ref="F1129" r:id="rId1119" tooltip="Завантажити сертифікат" display="Завантажити сертифікат"/>
    <hyperlink ref="F1130" r:id="rId1120" tooltip="Завантажити сертифікат" display="Завантажити сертифікат"/>
    <hyperlink ref="F1131" r:id="rId1121" tooltip="Завантажити сертифікат" display="Завантажити сертифікат"/>
    <hyperlink ref="F1132" r:id="rId1122" tooltip="Завантажити сертифікат" display="Завантажити сертифікат"/>
    <hyperlink ref="F1133" r:id="rId1123" tooltip="Завантажити сертифікат" display="Завантажити сертифікат"/>
    <hyperlink ref="F1135" r:id="rId1124" tooltip="Завантажити сертифікат" display="Завантажити сертифікат"/>
    <hyperlink ref="F1136" r:id="rId1125" tooltip="Завантажити сертифікат" display="Завантажити сертифікат"/>
    <hyperlink ref="F1137" r:id="rId1126" tooltip="Завантажити сертифікат" display="Завантажити сертифікат"/>
    <hyperlink ref="F1138" r:id="rId1127" tooltip="Завантажити сертифікат" display="Завантажити сертифікат"/>
    <hyperlink ref="F1139" r:id="rId1128" tooltip="Завантажити сертифікат" display="Завантажити сертифікат"/>
    <hyperlink ref="F1140" r:id="rId1129" tooltip="Завантажити сертифікат" display="Завантажити сертифікат"/>
    <hyperlink ref="F1141" r:id="rId1130" tooltip="Завантажити сертифікат" display="Завантажити сертифікат"/>
    <hyperlink ref="F1142" r:id="rId1131" tooltip="Завантажити сертифікат" display="Завантажити сертифікат"/>
    <hyperlink ref="F1143" r:id="rId1132" tooltip="Завантажити сертифікат" display="Завантажити сертифікат"/>
    <hyperlink ref="F1144" r:id="rId1133" tooltip="Завантажити сертифікат" display="Завантажити сертифікат"/>
    <hyperlink ref="F1145" r:id="rId1134" tooltip="Завантажити сертифікат" display="Завантажити сертифікат"/>
    <hyperlink ref="F1146" r:id="rId1135" tooltip="Завантажити сертифікат" display="Завантажити сертифікат"/>
    <hyperlink ref="F1147" r:id="rId1136" tooltip="Завантажити сертифікат" display="Завантажити сертифікат"/>
    <hyperlink ref="F1148" r:id="rId1137" tooltip="Завантажити сертифікат" display="Завантажити сертифікат"/>
    <hyperlink ref="F1149" r:id="rId1138" tooltip="Завантажити сертифікат" display="Завантажити сертифікат"/>
    <hyperlink ref="F1150" r:id="rId1139" tooltip="Завантажити сертифікат" display="Завантажити сертифікат"/>
    <hyperlink ref="F1151" r:id="rId1140" tooltip="Завантажити сертифікат" display="Завантажити сертифікат"/>
    <hyperlink ref="F1152" r:id="rId1141" tooltip="Завантажити сертифікат" display="Завантажити сертифікат"/>
    <hyperlink ref="F1153" r:id="rId1142" tooltip="Завантажити сертифікат" display="Завантажити сертифікат"/>
    <hyperlink ref="F1154" r:id="rId1143" tooltip="Завантажити сертифікат" display="Завантажити сертифікат"/>
    <hyperlink ref="F1155" r:id="rId1144" tooltip="Завантажити сертифікат" display="Завантажити сертифікат"/>
    <hyperlink ref="F1156" r:id="rId1145" tooltip="Завантажити сертифікат" display="Завантажити сертифікат"/>
    <hyperlink ref="F1157" r:id="rId1146" tooltip="Завантажити сертифікат" display="Завантажити сертифікат"/>
    <hyperlink ref="F1158" r:id="rId1147" tooltip="Завантажити сертифікат" display="Завантажити сертифікат"/>
    <hyperlink ref="F1159" r:id="rId1148" tooltip="Завантажити сертифікат" display="Завантажити сертифікат"/>
    <hyperlink ref="F1160" r:id="rId1149" tooltip="Завантажити сертифікат" display="Завантажити сертифікат"/>
    <hyperlink ref="F1161" r:id="rId1150" tooltip="Завантажити сертифікат" display="Завантажити сертифікат"/>
    <hyperlink ref="F1162" r:id="rId1151" tooltip="Завантажити сертифікат" display="Завантажити сертифікат"/>
    <hyperlink ref="F1163" r:id="rId1152" tooltip="Завантажити сертифікат" display="Завантажити сертифікат"/>
    <hyperlink ref="F1164" r:id="rId1153" tooltip="Завантажити сертифікат" display="Завантажити сертифікат"/>
    <hyperlink ref="F1165" r:id="rId1154" tooltip="Завантажити сертифікат" display="Завантажити сертифікат"/>
    <hyperlink ref="F1166" r:id="rId1155" tooltip="Завантажити сертифікат" display="Завантажити сертифікат"/>
    <hyperlink ref="F1167" r:id="rId1156" tooltip="Завантажити сертифікат" display="Завантажити сертифікат"/>
    <hyperlink ref="F1168" r:id="rId1157" tooltip="Завантажити сертифікат" display="Завантажити сертифікат"/>
    <hyperlink ref="F1169" r:id="rId1158" tooltip="Завантажити сертифікат" display="Завантажити сертифікат"/>
    <hyperlink ref="F1170" r:id="rId1159" tooltip="Завантажити сертифікат" display="Завантажити сертифікат"/>
    <hyperlink ref="F1171" r:id="rId1160" tooltip="Завантажити сертифікат" display="Завантажити сертифікат"/>
    <hyperlink ref="F1172" r:id="rId1161" tooltip="Завантажити сертифікат" display="Завантажити сертифікат"/>
    <hyperlink ref="F1173" r:id="rId1162" tooltip="Завантажити сертифікат" display="Завантажити сертифікат"/>
    <hyperlink ref="F1174" r:id="rId1163" tooltip="Завантажити сертифікат" display="Завантажити сертифікат"/>
    <hyperlink ref="F1175" r:id="rId1164" tooltip="Завантажити сертифікат" display="Завантажити сертифікат"/>
    <hyperlink ref="F1176" r:id="rId1165" tooltip="Завантажити сертифікат" display="Завантажити сертифікат"/>
    <hyperlink ref="F1177" r:id="rId1166" tooltip="Завантажити сертифікат" display="Завантажити сертифікат"/>
    <hyperlink ref="F1178" r:id="rId1167" tooltip="Завантажити сертифікат" display="Завантажити сертифікат"/>
    <hyperlink ref="F1179" r:id="rId1168" tooltip="Завантажити сертифікат" display="Завантажити сертифікат"/>
    <hyperlink ref="F1180" r:id="rId1169" tooltip="Завантажити сертифікат" display="Завантажити сертифікат"/>
    <hyperlink ref="F1181" r:id="rId1170" tooltip="Завантажити сертифікат" display="Завантажити сертифікат"/>
    <hyperlink ref="F1182" r:id="rId1171" tooltip="Завантажити сертифікат" display="Завантажити сертифікат"/>
    <hyperlink ref="F1183" r:id="rId1172" tooltip="Завантажити сертифікат" display="Завантажити сертифікат"/>
    <hyperlink ref="F1184" r:id="rId1173" tooltip="Завантажити сертифікат" display="Завантажити сертифікат"/>
    <hyperlink ref="F1185" r:id="rId1174" tooltip="Завантажити сертифікат" display="Завантажити сертифікат"/>
    <hyperlink ref="F1186" r:id="rId1175" tooltip="Завантажити сертифікат" display="Завантажити сертифікат"/>
    <hyperlink ref="F1187" r:id="rId1176" tooltip="Завантажити сертифікат" display="Завантажити сертифікат"/>
    <hyperlink ref="F1188" r:id="rId1177" tooltip="Завантажити сертифікат" display="Завантажити сертифікат"/>
    <hyperlink ref="F1189" r:id="rId1178" tooltip="Завантажити сертифікат" display="Завантажити сертифікат"/>
    <hyperlink ref="F1190" r:id="rId1179" tooltip="Завантажити сертифікат" display="Завантажити сертифікат"/>
    <hyperlink ref="F1191" r:id="rId1180" tooltip="Завантажити сертифікат" display="Завантажити сертифікат"/>
    <hyperlink ref="F1192" r:id="rId1181" tooltip="Завантажити сертифікат" display="Завантажити сертифікат"/>
    <hyperlink ref="F1193" r:id="rId1182" tooltip="Завантажити сертифікат" display="Завантажити сертифікат"/>
    <hyperlink ref="F1194" r:id="rId1183" tooltip="Завантажити сертифікат" display="Завантажити сертифікат"/>
    <hyperlink ref="F1195" r:id="rId1184" tooltip="Завантажити сертифікат" display="Завантажити сертифікат"/>
    <hyperlink ref="F1196" r:id="rId1185" tooltip="Завантажити сертифікат" display="Завантажити сертифікат"/>
    <hyperlink ref="F1197" r:id="rId1186" tooltip="Завантажити сертифікат" display="Завантажити сертифікат"/>
    <hyperlink ref="F1198" r:id="rId1187" tooltip="Завантажити сертифікат" display="Завантажити сертифікат"/>
    <hyperlink ref="F1199" r:id="rId1188" tooltip="Завантажити сертифікат" display="Завантажити сертифікат"/>
    <hyperlink ref="F1200" r:id="rId1189" tooltip="Завантажити сертифікат" display="Завантажити сертифікат"/>
    <hyperlink ref="F1201" r:id="rId1190" tooltip="Завантажити сертифікат" display="Завантажити сертифікат"/>
    <hyperlink ref="F1202" r:id="rId1191" tooltip="Завантажити сертифікат" display="Завантажити сертифікат"/>
    <hyperlink ref="F1203" r:id="rId1192" tooltip="Завантажити сертифікат" display="Завантажити сертифікат"/>
    <hyperlink ref="F1204" r:id="rId1193" tooltip="Завантажити сертифікат" display="Завантажити сертифікат"/>
    <hyperlink ref="F1205" r:id="rId1194" tooltip="Завантажити сертифікат" display="Завантажити сертифікат"/>
    <hyperlink ref="F1206" r:id="rId1195" tooltip="Завантажити сертифікат" display="Завантажити сертифікат"/>
    <hyperlink ref="F1207" r:id="rId1196" tooltip="Завантажити сертифікат" display="Завантажити сертифікат"/>
    <hyperlink ref="F1208" r:id="rId1197" tooltip="Завантажити сертифікат" display="Завантажити сертифікат"/>
    <hyperlink ref="F1209" r:id="rId1198" tooltip="Завантажити сертифікат" display="Завантажити сертифікат"/>
    <hyperlink ref="F1210" r:id="rId1199" tooltip="Завантажити сертифікат" display="Завантажити сертифікат"/>
    <hyperlink ref="F1211" r:id="rId1200" tooltip="Завантажити сертифікат" display="Завантажити сертифікат"/>
    <hyperlink ref="F1212" r:id="rId1201" tooltip="Завантажити сертифікат" display="Завантажити сертифікат"/>
    <hyperlink ref="F1213" r:id="rId1202" tooltip="Завантажити сертифікат" display="Завантажити сертифікат"/>
    <hyperlink ref="F1214" r:id="rId1203" tooltip="Завантажити сертифікат" display="Завантажити сертифікат"/>
    <hyperlink ref="F1215" r:id="rId1204" tooltip="Завантажити сертифікат" display="Завантажити сертифікат"/>
    <hyperlink ref="F1216" r:id="rId1205" tooltip="Завантажити сертифікат" display="Завантажити сертифікат"/>
    <hyperlink ref="F1217" r:id="rId1206" tooltip="Завантажити сертифікат" display="Завантажити сертифікат"/>
    <hyperlink ref="F1218" r:id="rId1207" tooltip="Завантажити сертифікат" display="Завантажити сертифікат"/>
    <hyperlink ref="F1219" r:id="rId1208" tooltip="Завантажити сертифікат" display="Завантажити сертифікат"/>
    <hyperlink ref="F1220" r:id="rId1209" tooltip="Завантажити сертифікат" display="Завантажити сертифікат"/>
    <hyperlink ref="F1221" r:id="rId1210" tooltip="Завантажити сертифікат" display="Завантажити сертифікат"/>
    <hyperlink ref="F1222" r:id="rId1211" tooltip="Завантажити сертифікат" display="Завантажити сертифікат"/>
    <hyperlink ref="F1223" r:id="rId1212" tooltip="Завантажити сертифікат" display="Завантажити сертифікат"/>
    <hyperlink ref="F1224" r:id="rId1213" tooltip="Завантажити сертифікат" display="Завантажити сертифікат"/>
    <hyperlink ref="F1225" r:id="rId1214" tooltip="Завантажити сертифікат" display="Завантажити сертифікат"/>
    <hyperlink ref="F1226" r:id="rId1215" tooltip="Завантажити сертифікат" display="Завантажити сертифікат"/>
    <hyperlink ref="F1227" r:id="rId1216" tooltip="Завантажити сертифікат" display="Завантажити сертифікат"/>
    <hyperlink ref="F1228" r:id="rId1217" tooltip="Завантажити сертифікат" display="Завантажити сертифікат"/>
    <hyperlink ref="F1229" r:id="rId1218" tooltip="Завантажити сертифікат" display="Завантажити сертифікат"/>
    <hyperlink ref="F1230" r:id="rId1219" tooltip="Завантажити сертифікат" display="Завантажити сертифікат"/>
    <hyperlink ref="F1231" r:id="rId1220" tooltip="Завантажити сертифікат" display="Завантажити сертифікат"/>
    <hyperlink ref="F1232" r:id="rId1221" tooltip="Завантажити сертифікат" display="Завантажити сертифікат"/>
    <hyperlink ref="F1233" r:id="rId1222" tooltip="Завантажити сертифікат" display="Завантажити сертифікат"/>
    <hyperlink ref="F1234" r:id="rId1223" tooltip="Завантажити сертифікат" display="Завантажити сертифікат"/>
    <hyperlink ref="F1235" r:id="rId1224" tooltip="Завантажити сертифікат" display="Завантажити сертифікат"/>
    <hyperlink ref="F1236" r:id="rId1225" tooltip="Завантажити сертифікат" display="Завантажити сертифікат"/>
    <hyperlink ref="F1237" r:id="rId1226" tooltip="Завантажити сертифікат" display="Завантажити сертифікат"/>
    <hyperlink ref="F1238" r:id="rId1227" tooltip="Завантажити сертифікат" display="Завантажити сертифікат"/>
    <hyperlink ref="F1239" r:id="rId1228" tooltip="Завантажити сертифікат" display="Завантажити сертифікат"/>
    <hyperlink ref="F1240" r:id="rId1229" tooltip="Завантажити сертифікат" display="Завантажити сертифікат"/>
    <hyperlink ref="F1241" r:id="rId1230" tooltip="Завантажити сертифікат" display="Завантажити сертифікат"/>
    <hyperlink ref="F1242" r:id="rId1231" tooltip="Завантажити сертифікат" display="Завантажити сертифікат"/>
    <hyperlink ref="F1243" r:id="rId1232" tooltip="Завантажити сертифікат" display="Завантажити сертифікат"/>
    <hyperlink ref="F1244" r:id="rId1233" tooltip="Завантажити сертифікат" display="Завантажити сертифікат"/>
    <hyperlink ref="F1245" r:id="rId1234" tooltip="Завантажити сертифікат" display="Завантажити сертифікат"/>
    <hyperlink ref="F1246" r:id="rId1235" tooltip="Завантажити сертифікат" display="Завантажити сертифікат"/>
    <hyperlink ref="F1247" r:id="rId1236" tooltip="Завантажити сертифікат" display="Завантажити сертифікат"/>
    <hyperlink ref="F1248" r:id="rId1237" tooltip="Завантажити сертифікат" display="Завантажити сертифікат"/>
    <hyperlink ref="F1249" r:id="rId1238" tooltip="Завантажити сертифікат" display="Завантажити сертифікат"/>
    <hyperlink ref="F1250" r:id="rId1239" tooltip="Завантажити сертифікат" display="Завантажити сертифікат"/>
    <hyperlink ref="F1251" r:id="rId1240" tooltip="Завантажити сертифікат" display="Завантажити сертифікат"/>
    <hyperlink ref="F1252" r:id="rId1241" tooltip="Завантажити сертифікат" display="Завантажити сертифікат"/>
    <hyperlink ref="F1253" r:id="rId1242" tooltip="Завантажити сертифікат" display="Завантажити сертифікат"/>
    <hyperlink ref="F1254" r:id="rId1243" tooltip="Завантажити сертифікат" display="Завантажити сертифікат"/>
    <hyperlink ref="F1255" r:id="rId1244" tooltip="Завантажити сертифікат" display="Завантажити сертифікат"/>
    <hyperlink ref="F1256" r:id="rId1245" tooltip="Завантажити сертифікат" display="Завантажити сертифікат"/>
    <hyperlink ref="F1257" r:id="rId1246" tooltip="Завантажити сертифікат" display="Завантажити сертифікат"/>
    <hyperlink ref="F1258" r:id="rId1247" tooltip="Завантажити сертифікат" display="Завантажити сертифікат"/>
    <hyperlink ref="F1259" r:id="rId1248" tooltip="Завантажити сертифікат" display="Завантажити сертифікат"/>
    <hyperlink ref="F1260" r:id="rId1249" tooltip="Завантажити сертифікат" display="Завантажити сертифікат"/>
    <hyperlink ref="F1261" r:id="rId1250" tooltip="Завантажити сертифікат" display="Завантажити сертифікат"/>
    <hyperlink ref="F1262" r:id="rId1251" tooltip="Завантажити сертифікат" display="Завантажити сертифікат"/>
    <hyperlink ref="F1263" r:id="rId1252" tooltip="Завантажити сертифікат" display="Завантажити сертифікат"/>
    <hyperlink ref="F1264" r:id="rId1253" tooltip="Завантажити сертифікат" display="Завантажити сертифікат"/>
    <hyperlink ref="F1265" r:id="rId1254" tooltip="Завантажити сертифікат" display="Завантажити сертифікат"/>
    <hyperlink ref="F1266" r:id="rId1255" tooltip="Завантажити сертифікат" display="Завантажити сертифікат"/>
    <hyperlink ref="F1267" r:id="rId1256" tooltip="Завантажити сертифікат" display="Завантажити сертифікат"/>
    <hyperlink ref="F1268" r:id="rId1257" tooltip="Завантажити сертифікат" display="Завантажити сертифікат"/>
    <hyperlink ref="F1269" r:id="rId1258" tooltip="Завантажити сертифікат" display="Завантажити сертифікат"/>
    <hyperlink ref="F1270" r:id="rId1259" tooltip="Завантажити сертифікат" display="Завантажити сертифікат"/>
    <hyperlink ref="F1271" r:id="rId1260" tooltip="Завантажити сертифікат" display="Завантажити сертифікат"/>
    <hyperlink ref="F1272" r:id="rId1261" tooltip="Завантажити сертифікат" display="Завантажити сертифікат"/>
    <hyperlink ref="F1273" r:id="rId1262" tooltip="Завантажити сертифікат" display="Завантажити сертифікат"/>
    <hyperlink ref="F1274" r:id="rId1263" tooltip="Завантажити сертифікат" display="Завантажити сертифікат"/>
    <hyperlink ref="F1275" r:id="rId1264" tooltip="Завантажити сертифікат" display="Завантажити сертифікат"/>
    <hyperlink ref="F1276" r:id="rId1265" tooltip="Завантажити сертифікат" display="Завантажити сертифікат"/>
    <hyperlink ref="F1277" r:id="rId1266" tooltip="Завантажити сертифікат" display="Завантажити сертифікат"/>
    <hyperlink ref="F1278" r:id="rId1267" tooltip="Завантажити сертифікат" display="Завантажити сертифікат"/>
    <hyperlink ref="F1279" r:id="rId1268" tooltip="Завантажити сертифікат" display="Завантажити сертифікат"/>
    <hyperlink ref="F1280" r:id="rId1269" tooltip="Завантажити сертифікат" display="Завантажити сертифікат"/>
    <hyperlink ref="F1281" r:id="rId1270" tooltip="Завантажити сертифікат" display="Завантажити сертифікат"/>
    <hyperlink ref="F1282" r:id="rId1271" tooltip="Завантажити сертифікат" display="Завантажити сертифікат"/>
    <hyperlink ref="F1283" r:id="rId1272" tooltip="Завантажити сертифікат" display="Завантажити сертифікат"/>
    <hyperlink ref="F1284" r:id="rId1273" tooltip="Завантажити сертифікат" display="Завантажити сертифікат"/>
    <hyperlink ref="F1285" r:id="rId1274" tooltip="Завантажити сертифікат" display="Завантажити сертифікат"/>
    <hyperlink ref="F1286" r:id="rId1275" tooltip="Завантажити сертифікат" display="Завантажити сертифікат"/>
    <hyperlink ref="F1287" r:id="rId1276" tooltip="Завантажити сертифікат" display="Завантажити сертифікат"/>
    <hyperlink ref="F1288" r:id="rId1277" tooltip="Завантажити сертифікат" display="Завантажити сертифікат"/>
    <hyperlink ref="F1289" r:id="rId1278" tooltip="Завантажити сертифікат" display="Завантажити сертифікат"/>
    <hyperlink ref="F1290" r:id="rId1279" tooltip="Завантажити сертифікат" display="Завантажити сертифікат"/>
    <hyperlink ref="F1291" r:id="rId1280" tooltip="Завантажити сертифікат" display="Завантажити сертифікат"/>
    <hyperlink ref="F1292" r:id="rId1281" tooltip="Завантажити сертифікат" display="Завантажити сертифікат"/>
    <hyperlink ref="F1293" r:id="rId1282" tooltip="Завантажити сертифікат" display="Завантажити сертифікат"/>
    <hyperlink ref="F1294" r:id="rId1283" tooltip="Завантажити сертифікат" display="Завантажити сертифікат"/>
    <hyperlink ref="F1295" r:id="rId1284" tooltip="Завантажити сертифікат" display="Завантажити сертифікат"/>
    <hyperlink ref="F1296" r:id="rId1285" tooltip="Завантажити сертифікат" display="Завантажити сертифікат"/>
    <hyperlink ref="F1297" r:id="rId1286" tooltip="Завантажити сертифікат" display="Завантажити сертифікат"/>
    <hyperlink ref="F1298" r:id="rId1287" tooltip="Завантажити сертифікат" display="Завантажити сертифікат"/>
    <hyperlink ref="F1299" r:id="rId1288" tooltip="Завантажити сертифікат" display="Завантажити сертифікат"/>
    <hyperlink ref="F1300" r:id="rId1289" tooltip="Завантажити сертифікат" display="Завантажити сертифікат"/>
    <hyperlink ref="F1301" r:id="rId1290" tooltip="Завантажити сертифікат" display="Завантажити сертифікат"/>
    <hyperlink ref="F1302" r:id="rId1291" tooltip="Завантажити сертифікат" display="Завантажити сертифікат"/>
    <hyperlink ref="F1303" r:id="rId1292" tooltip="Завантажити сертифікат" display="Завантажити сертифікат"/>
    <hyperlink ref="F1304" r:id="rId1293" tooltip="Завантажити сертифікат" display="Завантажити сертифікат"/>
    <hyperlink ref="F1305" r:id="rId1294" tooltip="Завантажити сертифікат" display="Завантажити сертифікат"/>
    <hyperlink ref="F1306" r:id="rId1295" tooltip="Завантажити сертифікат" display="Завантажити сертифікат"/>
    <hyperlink ref="F1307" r:id="rId1296" tooltip="Завантажити сертифікат" display="Завантажити сертифікат"/>
    <hyperlink ref="F1308" r:id="rId1297" tooltip="Завантажити сертифікат" display="Завантажити сертифікат"/>
    <hyperlink ref="F1309" r:id="rId1298" tooltip="Завантажити сертифікат" display="Завантажити сертифікат"/>
    <hyperlink ref="F1310" r:id="rId1299" tooltip="Завантажити сертифікат" display="Завантажити сертифікат"/>
    <hyperlink ref="F1311" r:id="rId1300" tooltip="Завантажити сертифікат" display="Завантажити сертифікат"/>
    <hyperlink ref="F1312" r:id="rId1301" tooltip="Завантажити сертифікат" display="Завантажити сертифікат"/>
    <hyperlink ref="F1313" r:id="rId1302" tooltip="Завантажити сертифікат" display="Завантажити сертифікат"/>
    <hyperlink ref="F1314" r:id="rId1303" tooltip="Завантажити сертифікат" display="Завантажити сертифікат"/>
    <hyperlink ref="F1315" r:id="rId1304" tooltip="Завантажити сертифікат" display="Завантажити сертифікат"/>
    <hyperlink ref="F1316" r:id="rId1305" tooltip="Завантажити сертифікат" display="Завантажити сертифікат"/>
    <hyperlink ref="F1317" r:id="rId1306" tooltip="Завантажити сертифікат" display="Завантажити сертифікат"/>
    <hyperlink ref="F1318" r:id="rId1307" tooltip="Завантажити сертифікат" display="Завантажити сертифікат"/>
    <hyperlink ref="F1319" r:id="rId1308" tooltip="Завантажити сертифікат" display="Завантажити сертифікат"/>
    <hyperlink ref="F1320" r:id="rId1309" tooltip="Завантажити сертифікат" display="Завантажити сертифікат"/>
    <hyperlink ref="F1321" r:id="rId1310" tooltip="Завантажити сертифікат" display="Завантажити сертифікат"/>
    <hyperlink ref="F1322" r:id="rId1311" tooltip="Завантажити сертифікат" display="Завантажити сертифікат"/>
    <hyperlink ref="F1323" r:id="rId1312" tooltip="Завантажити сертифікат" display="Завантажити сертифікат"/>
    <hyperlink ref="F1324" r:id="rId1313" tooltip="Завантажити сертифікат" display="Завантажити сертифікат"/>
    <hyperlink ref="F1325" r:id="rId1314" tooltip="Завантажити сертифікат" display="Завантажити сертифікат"/>
    <hyperlink ref="F1326" r:id="rId1315" tooltip="Завантажити сертифікат" display="Завантажити сертифікат"/>
    <hyperlink ref="F1327" r:id="rId1316" tooltip="Завантажити сертифікат" display="Завантажити сертифікат"/>
    <hyperlink ref="F1328" r:id="rId1317" tooltip="Завантажити сертифікат" display="Завантажити сертифікат"/>
    <hyperlink ref="F1329" r:id="rId1318" tooltip="Завантажити сертифікат" display="Завантажити сертифікат"/>
    <hyperlink ref="F1330" r:id="rId1319" tooltip="Завантажити сертифікат" display="Завантажити сертифікат"/>
    <hyperlink ref="F1331" r:id="rId1320" tooltip="Завантажити сертифікат" display="Завантажити сертифікат"/>
    <hyperlink ref="F1332" r:id="rId1321" tooltip="Завантажити сертифікат" display="Завантажити сертифікат"/>
    <hyperlink ref="F1333" r:id="rId1322" tooltip="Завантажити сертифікат" display="Завантажити сертифікат"/>
    <hyperlink ref="F1334" r:id="rId1323" tooltip="Завантажити сертифікат" display="Завантажити сертифікат"/>
    <hyperlink ref="F1335" r:id="rId1324" tooltip="Завантажити сертифікат" display="Завантажити сертифікат"/>
    <hyperlink ref="F1336" r:id="rId1325" tooltip="Завантажити сертифікат" display="Завантажити сертифікат"/>
    <hyperlink ref="F1337" r:id="rId1326" tooltip="Завантажити сертифікат" display="Завантажити сертифікат"/>
    <hyperlink ref="F1338" r:id="rId1327" tooltip="Завантажити сертифікат" display="Завантажити сертифікат"/>
    <hyperlink ref="F1339" r:id="rId1328" tooltip="Завантажити сертифікат" display="Завантажити сертифікат"/>
    <hyperlink ref="F1340" r:id="rId1329" tooltip="Завантажити сертифікат" display="Завантажити сертифікат"/>
    <hyperlink ref="F1341" r:id="rId1330" tooltip="Завантажити сертифікат" display="Завантажити сертифікат"/>
    <hyperlink ref="F1342" r:id="rId1331" tooltip="Завантажити сертифікат" display="Завантажити сертифікат"/>
    <hyperlink ref="F1343" r:id="rId1332" tooltip="Завантажити сертифікат" display="Завантажити сертифікат"/>
    <hyperlink ref="F1344" r:id="rId1333" tooltip="Завантажити сертифікат" display="Завантажити сертифікат"/>
    <hyperlink ref="F1345" r:id="rId1334" tooltip="Завантажити сертифікат" display="Завантажити сертифікат"/>
    <hyperlink ref="F1346" r:id="rId1335" tooltip="Завантажити сертифікат" display="Завантажити сертифікат"/>
    <hyperlink ref="F1347" r:id="rId1336" tooltip="Завантажити сертифікат" display="Завантажити сертифікат"/>
    <hyperlink ref="F1348" r:id="rId1337" tooltip="Завантажити сертифікат" display="Завантажити сертифікат"/>
    <hyperlink ref="F1349" r:id="rId1338" tooltip="Завантажити сертифікат" display="Завантажити сертифікат"/>
    <hyperlink ref="F1350" r:id="rId1339" tooltip="Завантажити сертифікат" display="Завантажити сертифікат"/>
    <hyperlink ref="F1351" r:id="rId1340" tooltip="Завантажити сертифікат" display="Завантажити сертифікат"/>
    <hyperlink ref="F1352" r:id="rId1341" tooltip="Завантажити сертифікат" display="Завантажити сертифікат"/>
    <hyperlink ref="F1353" r:id="rId1342" tooltip="Завантажити сертифікат" display="Завантажити сертифікат"/>
    <hyperlink ref="F1354" r:id="rId1343" tooltip="Завантажити сертифікат" display="Завантажити сертифікат"/>
    <hyperlink ref="F1355" r:id="rId1344" tooltip="Завантажити сертифікат" display="Завантажити сертифікат"/>
    <hyperlink ref="F1356" r:id="rId1345" tooltip="Завантажити сертифікат" display="Завантажити сертифікат"/>
    <hyperlink ref="F1357" r:id="rId1346" tooltip="Завантажити сертифікат" display="Завантажити сертифікат"/>
    <hyperlink ref="F1358" r:id="rId1347" tooltip="Завантажити сертифікат" display="Завантажити сертифікат"/>
    <hyperlink ref="F1359" r:id="rId1348" tooltip="Завантажити сертифікат" display="Завантажити сертифікат"/>
    <hyperlink ref="F1360" r:id="rId1349" tooltip="Завантажити сертифікат" display="Завантажити сертифікат"/>
    <hyperlink ref="F1361" r:id="rId1350" tooltip="Завантажити сертифікат" display="Завантажити сертифікат"/>
    <hyperlink ref="F1362" r:id="rId1351" tooltip="Завантажити сертифікат" display="Завантажити сертифікат"/>
    <hyperlink ref="F1363" r:id="rId1352" tooltip="Завантажити сертифікат" display="Завантажити сертифікат"/>
    <hyperlink ref="F1364" r:id="rId1353" tooltip="Завантажити сертифікат" display="Завантажити сертифікат"/>
    <hyperlink ref="F1365" r:id="rId1354" tooltip="Завантажити сертифікат" display="Завантажити сертифікат"/>
    <hyperlink ref="F1366" r:id="rId1355" tooltip="Завантажити сертифікат" display="Завантажити сертифікат"/>
    <hyperlink ref="F1367" r:id="rId1356" tooltip="Завантажити сертифікат" display="Завантажити сертифікат"/>
    <hyperlink ref="F1368" r:id="rId1357" tooltip="Завантажити сертифікат" display="Завантажити сертифікат"/>
    <hyperlink ref="F1369" r:id="rId1358" tooltip="Завантажити сертифікат" display="Завантажити сертифікат"/>
    <hyperlink ref="F1370" r:id="rId1359" tooltip="Завантажити сертифікат" display="Завантажити сертифікат"/>
    <hyperlink ref="F1371" r:id="rId1360" tooltip="Завантажити сертифікат" display="Завантажити сертифікат"/>
    <hyperlink ref="F1372" r:id="rId1361" tooltip="Завантажити сертифікат" display="Завантажити сертифікат"/>
    <hyperlink ref="F1373" r:id="rId1362" tooltip="Завантажити сертифікат" display="Завантажити сертифікат"/>
    <hyperlink ref="F1374" r:id="rId1363" tooltip="Завантажити сертифікат" display="Завантажити сертифікат"/>
    <hyperlink ref="F1375" r:id="rId1364" tooltip="Завантажити сертифікат" display="Завантажити сертифікат"/>
    <hyperlink ref="F1376" r:id="rId1365" tooltip="Завантажити сертифікат" display="Завантажити сертифікат"/>
    <hyperlink ref="F1377" r:id="rId1366" tooltip="Завантажити сертифікат" display="Завантажити сертифікат"/>
    <hyperlink ref="F1378" r:id="rId1367" tooltip="Завантажити сертифікат" display="Завантажити сертифікат"/>
    <hyperlink ref="F1379" r:id="rId1368" tooltip="Завантажити сертифікат" display="Завантажити сертифікат"/>
    <hyperlink ref="F1380" r:id="rId1369" tooltip="Завантажити сертифікат" display="Завантажити сертифікат"/>
    <hyperlink ref="F1381" r:id="rId1370" tooltip="Завантажити сертифікат" display="Завантажити сертифікат"/>
    <hyperlink ref="F1382" r:id="rId1371" tooltip="Завантажити сертифікат" display="Завантажити сертифікат"/>
    <hyperlink ref="F1383" r:id="rId1372" tooltip="Завантажити сертифікат" display="Завантажити сертифікат"/>
    <hyperlink ref="F1384" r:id="rId1373" tooltip="Завантажити сертифікат" display="Завантажити сертифікат"/>
    <hyperlink ref="F1385" r:id="rId1374" tooltip="Завантажити сертифікат" display="Завантажити сертифікат"/>
    <hyperlink ref="F1386" r:id="rId1375" tooltip="Завантажити сертифікат" display="Завантажити сертифікат"/>
    <hyperlink ref="F1387" r:id="rId1376" tooltip="Завантажити сертифікат" display="Завантажити сертифікат"/>
    <hyperlink ref="F1388" r:id="rId1377" tooltip="Завантажити сертифікат" display="Завантажити сертифікат"/>
    <hyperlink ref="F1389" r:id="rId1378" tooltip="Завантажити сертифікат" display="Завантажити сертифікат"/>
    <hyperlink ref="F1390" r:id="rId1379" tooltip="Завантажити сертифікат" display="Завантажити сертифікат"/>
    <hyperlink ref="F1391" r:id="rId1380" tooltip="Завантажити сертифікат" display="Завантажити сертифікат"/>
    <hyperlink ref="F1392" r:id="rId1381" tooltip="Завантажити сертифікат" display="Завантажити сертифікат"/>
    <hyperlink ref="F1393" r:id="rId1382" tooltip="Завантажити сертифікат" display="Завантажити сертифікат"/>
    <hyperlink ref="F1394" r:id="rId1383" tooltip="Завантажити сертифікат" display="Завантажити сертифікат"/>
    <hyperlink ref="F1395" r:id="rId1384" tooltip="Завантажити сертифікат" display="Завантажити сертифікат"/>
    <hyperlink ref="F1396" r:id="rId1385" tooltip="Завантажити сертифікат" display="Завантажити сертифікат"/>
    <hyperlink ref="F1397" r:id="rId1386" tooltip="Завантажити сертифікат" display="Завантажити сертифікат"/>
    <hyperlink ref="F1398" r:id="rId1387" tooltip="Завантажити сертифікат" display="Завантажити сертифікат"/>
    <hyperlink ref="F1399" r:id="rId1388" tooltip="Завантажити сертифікат" display="Завантажити сертифікат"/>
    <hyperlink ref="F1400" r:id="rId1389" tooltip="Завантажити сертифікат" display="Завантажити сертифікат"/>
    <hyperlink ref="F1401" r:id="rId1390" tooltip="Завантажити сертифікат" display="Завантажити сертифікат"/>
    <hyperlink ref="F1402" r:id="rId1391" tooltip="Завантажити сертифікат" display="Завантажити сертифікат"/>
    <hyperlink ref="F1403" r:id="rId1392" tooltip="Завантажити сертифікат" display="Завантажити сертифікат"/>
    <hyperlink ref="F1404" r:id="rId1393" tooltip="Завантажити сертифікат" display="Завантажити сертифікат"/>
    <hyperlink ref="F1405" r:id="rId1394" tooltip="Завантажити сертифікат" display="Завантажити сертифікат"/>
    <hyperlink ref="F1406" r:id="rId1395" tooltip="Завантажити сертифікат" display="Завантажити сертифікат"/>
    <hyperlink ref="F1407" r:id="rId1396" tooltip="Завантажити сертифікат" display="Завантажити сертифікат"/>
    <hyperlink ref="F1408" r:id="rId1397" tooltip="Завантажити сертифікат" display="Завантажити сертифікат"/>
    <hyperlink ref="F1409" r:id="rId1398" tooltip="Завантажити сертифікат" display="Завантажити сертифікат"/>
    <hyperlink ref="F1410" r:id="rId1399" tooltip="Завантажити сертифікат" display="Завантажити сертифікат"/>
    <hyperlink ref="F1411" r:id="rId1400" tooltip="Завантажити сертифікат" display="Завантажити сертифікат"/>
    <hyperlink ref="F1412" r:id="rId1401" tooltip="Завантажити сертифікат" display="Завантажити сертифікат"/>
    <hyperlink ref="F1413" r:id="rId1402" tooltip="Завантажити сертифікат" display="Завантажити сертифікат"/>
    <hyperlink ref="F1414" r:id="rId1403" tooltip="Завантажити сертифікат" display="Завантажити сертифікат"/>
    <hyperlink ref="F1415" r:id="rId1404" tooltip="Завантажити сертифікат" display="Завантажити сертифікат"/>
    <hyperlink ref="F1416" r:id="rId1405" tooltip="Завантажити сертифікат" display="Завантажити сертифікат"/>
    <hyperlink ref="F1417" r:id="rId1406" tooltip="Завантажити сертифікат" display="Завантажити сертифікат"/>
    <hyperlink ref="F1418" r:id="rId1407" tooltip="Завантажити сертифікат" display="Завантажити сертифікат"/>
    <hyperlink ref="F1419" r:id="rId1408" tooltip="Завантажити сертифікат" display="Завантажити сертифікат"/>
    <hyperlink ref="F1420" r:id="rId1409" tooltip="Завантажити сертифікат" display="Завантажити сертифікат"/>
    <hyperlink ref="F1421" r:id="rId1410" tooltip="Завантажити сертифікат" display="Завантажити сертифікат"/>
    <hyperlink ref="F1422" r:id="rId1411" tooltip="Завантажити сертифікат" display="Завантажити сертифікат"/>
    <hyperlink ref="F1423" r:id="rId1412" tooltip="Завантажити сертифікат" display="Завантажити сертифікат"/>
    <hyperlink ref="F1424" r:id="rId1413" tooltip="Завантажити сертифікат" display="Завантажити сертифікат"/>
    <hyperlink ref="F1425" r:id="rId1414" tooltip="Завантажити сертифікат" display="Завантажити сертифікат"/>
    <hyperlink ref="F1426" r:id="rId1415" tooltip="Завантажити сертифікат" display="Завантажити сертифікат"/>
    <hyperlink ref="F1427" r:id="rId1416" tooltip="Завантажити сертифікат" display="Завантажити сертифікат"/>
    <hyperlink ref="F1428" r:id="rId1417" tooltip="Завантажити сертифікат" display="Завантажити сертифікат"/>
    <hyperlink ref="F1429" r:id="rId1418" tooltip="Завантажити сертифікат" display="Завантажити сертифікат"/>
    <hyperlink ref="F1430" r:id="rId1419" tooltip="Завантажити сертифікат" display="Завантажити сертифікат"/>
    <hyperlink ref="F1431" r:id="rId1420" tooltip="Завантажити сертифікат" display="Завантажити сертифікат"/>
    <hyperlink ref="F1432" r:id="rId1421" tooltip="Завантажити сертифікат" display="Завантажити сертифікат"/>
    <hyperlink ref="F1433" r:id="rId1422" tooltip="Завантажити сертифікат" display="Завантажити сертифікат"/>
    <hyperlink ref="F1434" r:id="rId1423" tooltip="Завантажити сертифікат" display="Завантажити сертифікат"/>
    <hyperlink ref="F1435" r:id="rId1424" tooltip="Завантажити сертифікат" display="Завантажити сертифікат"/>
    <hyperlink ref="F1436" r:id="rId1425" tooltip="Завантажити сертифікат" display="Завантажити сертифікат"/>
    <hyperlink ref="F1437" r:id="rId1426" tooltip="Завантажити сертифікат" display="Завантажити сертифікат"/>
    <hyperlink ref="F1438" r:id="rId1427" tooltip="Завантажити сертифікат" display="Завантажити сертифікат"/>
    <hyperlink ref="F1439" r:id="rId1428" tooltip="Завантажити сертифікат" display="Завантажити сертифікат"/>
    <hyperlink ref="F1440" r:id="rId1429" tooltip="Завантажити сертифікат" display="Завантажити сертифікат"/>
    <hyperlink ref="F1441" r:id="rId1430" tooltip="Завантажити сертифікат" display="Завантажити сертифікат"/>
    <hyperlink ref="F1442" r:id="rId1431" tooltip="Завантажити сертифікат" display="Завантажити сертифікат"/>
    <hyperlink ref="F1443" r:id="rId1432" tooltip="Завантажити сертифікат" display="Завантажити сертифікат"/>
    <hyperlink ref="F1444" r:id="rId1433" tooltip="Завантажити сертифікат" display="Завантажити сертифікат"/>
    <hyperlink ref="F1445" r:id="rId1434" tooltip="Завантажити сертифікат" display="Завантажити сертифікат"/>
    <hyperlink ref="F1446" r:id="rId1435" tooltip="Завантажити сертифікат" display="Завантажити сертифікат"/>
    <hyperlink ref="F1447" r:id="rId1436" tooltip="Завантажити сертифікат" display="Завантажити сертифікат"/>
    <hyperlink ref="F1448" r:id="rId1437" tooltip="Завантажити сертифікат" display="Завантажити сертифікат"/>
    <hyperlink ref="F1449" r:id="rId1438" tooltip="Завантажити сертифікат" display="Завантажити сертифікат"/>
    <hyperlink ref="F1450" r:id="rId1439" tooltip="Завантажити сертифікат" display="Завантажити сертифікат"/>
    <hyperlink ref="F1451" r:id="rId1440" tooltip="Завантажити сертифікат" display="Завантажити сертифікат"/>
    <hyperlink ref="F1452" r:id="rId1441" tooltip="Завантажити сертифікат" display="Завантажити сертифікат"/>
    <hyperlink ref="F1453" r:id="rId1442" tooltip="Завантажити сертифікат" display="Завантажити сертифікат"/>
    <hyperlink ref="F1454" r:id="rId1443" tooltip="Завантажити сертифікат" display="Завантажити сертифікат"/>
    <hyperlink ref="F1455" r:id="rId1444" tooltip="Завантажити сертифікат" display="Завантажити сертифікат"/>
    <hyperlink ref="F1456" r:id="rId1445" tooltip="Завантажити сертифікат" display="Завантажити сертифікат"/>
    <hyperlink ref="F1457" r:id="rId1446" tooltip="Завантажити сертифікат" display="Завантажити сертифікат"/>
    <hyperlink ref="F1458" r:id="rId1447" tooltip="Завантажити сертифікат" display="Завантажити сертифікат"/>
    <hyperlink ref="F1459" r:id="rId1448" tooltip="Завантажити сертифікат" display="Завантажити сертифікат"/>
    <hyperlink ref="F1460" r:id="rId1449" tooltip="Завантажити сертифікат" display="Завантажити сертифікат"/>
    <hyperlink ref="F1461" r:id="rId1450" tooltip="Завантажити сертифікат" display="Завантажити сертифікат"/>
    <hyperlink ref="F1462" r:id="rId1451" tooltip="Завантажити сертифікат" display="Завантажити сертифікат"/>
    <hyperlink ref="F1463" r:id="rId1452" tooltip="Завантажити сертифікат" display="Завантажити сертифікат"/>
    <hyperlink ref="F1464" r:id="rId1453" tooltip="Завантажити сертифікат" display="Завантажити сертифікат"/>
    <hyperlink ref="F1465" r:id="rId1454" tooltip="Завантажити сертифікат" display="Завантажити сертифікат"/>
    <hyperlink ref="F1466" r:id="rId1455" tooltip="Завантажити сертифікат" display="Завантажити сертифікат"/>
    <hyperlink ref="F1467" r:id="rId1456" tooltip="Завантажити сертифікат" display="Завантажити сертифікат"/>
    <hyperlink ref="F1468" r:id="rId1457" tooltip="Завантажити сертифікат" display="Завантажити сертифікат"/>
    <hyperlink ref="F1469" r:id="rId1458" tooltip="Завантажити сертифікат" display="Завантажити сертифікат"/>
    <hyperlink ref="F1470" r:id="rId1459" tooltip="Завантажити сертифікат" display="Завантажити сертифікат"/>
    <hyperlink ref="F1471" r:id="rId1460" tooltip="Завантажити сертифікат" display="Завантажити сертифікат"/>
    <hyperlink ref="F1472" r:id="rId1461" tooltip="Завантажити сертифікат" display="Завантажити сертифікат"/>
    <hyperlink ref="F1473" r:id="rId1462" tooltip="Завантажити сертифікат" display="Завантажити сертифікат"/>
    <hyperlink ref="F1474" r:id="rId1463" tooltip="Завантажити сертифікат" display="Завантажити сертифікат"/>
    <hyperlink ref="F1475" r:id="rId1464" tooltip="Завантажити сертифікат" display="Завантажити сертифікат"/>
    <hyperlink ref="F1476" r:id="rId1465" tooltip="Завантажити сертифікат" display="Завантажити сертифікат"/>
    <hyperlink ref="F1477" r:id="rId1466" tooltip="Завантажити сертифікат" display="Завантажити сертифікат"/>
    <hyperlink ref="F1478" r:id="rId1467" tooltip="Завантажити сертифікат" display="Завантажити сертифікат"/>
    <hyperlink ref="F1479" r:id="rId1468" tooltip="Завантажити сертифікат" display="Завантажити сертифікат"/>
    <hyperlink ref="F1480" r:id="rId1469" tooltip="Завантажити сертифікат" display="Завантажити сертифікат"/>
    <hyperlink ref="F1481" r:id="rId1470" tooltip="Завантажити сертифікат" display="Завантажити сертифікат"/>
    <hyperlink ref="F1482" r:id="rId1471" tooltip="Завантажити сертифікат" display="Завантажити сертифікат"/>
    <hyperlink ref="F1483" r:id="rId1472" tooltip="Завантажити сертифікат" display="Завантажити сертифікат"/>
    <hyperlink ref="F1484" r:id="rId1473" tooltip="Завантажити сертифікат" display="Завантажити сертифікат"/>
    <hyperlink ref="F1485" r:id="rId1474" tooltip="Завантажити сертифікат" display="Завантажити сертифікат"/>
    <hyperlink ref="F1486" r:id="rId1475" tooltip="Завантажити сертифікат" display="Завантажити сертифікат"/>
    <hyperlink ref="F1487" r:id="rId1476" tooltip="Завантажити сертифікат" display="Завантажити сертифікат"/>
    <hyperlink ref="F1488" r:id="rId1477" tooltip="Завантажити сертифікат" display="Завантажити сертифікат"/>
    <hyperlink ref="F1489" r:id="rId1478" tooltip="Завантажити сертифікат" display="Завантажити сертифікат"/>
    <hyperlink ref="F1490" r:id="rId1479" tooltip="Завантажити сертифікат" display="Завантажити сертифікат"/>
    <hyperlink ref="F1491" r:id="rId1480" tooltip="Завантажити сертифікат" display="Завантажити сертифікат"/>
    <hyperlink ref="F1492" r:id="rId1481" tooltip="Завантажити сертифікат" display="Завантажити сертифікат"/>
    <hyperlink ref="F1493" r:id="rId1482" tooltip="Завантажити сертифікат" display="Завантажити сертифікат"/>
    <hyperlink ref="F1494" r:id="rId1483" tooltip="Завантажити сертифікат" display="Завантажити сертифікат"/>
    <hyperlink ref="F1495" r:id="rId1484" tooltip="Завантажити сертифікат" display="Завантажити сертифікат"/>
    <hyperlink ref="F1496" r:id="rId1485" tooltip="Завантажити сертифікат" display="Завантажити сертифікат"/>
    <hyperlink ref="F1497" r:id="rId1486" tooltip="Завантажити сертифікат" display="Завантажити сертифікат"/>
    <hyperlink ref="F1498" r:id="rId1487" tooltip="Завантажити сертифікат" display="Завантажити сертифікат"/>
    <hyperlink ref="F1499" r:id="rId1488" tooltip="Завантажити сертифікат" display="Завантажити сертифікат"/>
    <hyperlink ref="F1500" r:id="rId1489" tooltip="Завантажити сертифікат" display="Завантажити сертифікат"/>
    <hyperlink ref="F1501" r:id="rId1490" tooltip="Завантажити сертифікат" display="Завантажити сертифікат"/>
    <hyperlink ref="F1502" r:id="rId1491" tooltip="Завантажити сертифікат" display="Завантажити сертифікат"/>
    <hyperlink ref="F1503" r:id="rId1492" tooltip="Завантажити сертифікат" display="Завантажити сертифікат"/>
    <hyperlink ref="F1504" r:id="rId1493" tooltip="Завантажити сертифікат" display="Завантажити сертифікат"/>
    <hyperlink ref="F1505" r:id="rId1494" tooltip="Завантажити сертифікат" display="Завантажити сертифікат"/>
    <hyperlink ref="F1506" r:id="rId1495" tooltip="Завантажити сертифікат" display="Завантажити сертифікат"/>
    <hyperlink ref="F1507" r:id="rId1496" tooltip="Завантажити сертифікат" display="Завантажити сертифікат"/>
    <hyperlink ref="F1508" r:id="rId1497" tooltip="Завантажити сертифікат" display="Завантажити сертифікат"/>
    <hyperlink ref="F1509" r:id="rId1498" tooltip="Завантажити сертифікат" display="Завантажити сертифікат"/>
    <hyperlink ref="F1510" r:id="rId1499" tooltip="Завантажити сертифікат" display="Завантажити сертифікат"/>
    <hyperlink ref="F1511" r:id="rId1500" tooltip="Завантажити сертифікат" display="Завантажити сертифікат"/>
    <hyperlink ref="F1512" r:id="rId1501" tooltip="Завантажити сертифікат" display="Завантажити сертифікат"/>
    <hyperlink ref="F1513" r:id="rId1502" tooltip="Завантажити сертифікат" display="Завантажити сертифікат"/>
    <hyperlink ref="F1514" r:id="rId1503" tooltip="Завантажити сертифікат" display="Завантажити сертифікат"/>
    <hyperlink ref="F1515" r:id="rId1504" tooltip="Завантажити сертифікат" display="Завантажити сертифікат"/>
    <hyperlink ref="F1516" r:id="rId1505" tooltip="Завантажити сертифікат" display="Завантажити сертифікат"/>
    <hyperlink ref="F1517" r:id="rId1506" tooltip="Завантажити сертифікат" display="Завантажити сертифікат"/>
    <hyperlink ref="F1518" r:id="rId1507" tooltip="Завантажити сертифікат" display="Завантажити сертифікат"/>
    <hyperlink ref="F1519" r:id="rId1508" tooltip="Завантажити сертифікат" display="Завантажити сертифікат"/>
    <hyperlink ref="F1520" r:id="rId1509" tooltip="Завантажити сертифікат" display="Завантажити сертифікат"/>
    <hyperlink ref="F1521" r:id="rId1510" tooltip="Завантажити сертифікат" display="Завантажити сертифікат"/>
    <hyperlink ref="F1522" r:id="rId1511" tooltip="Завантажити сертифікат" display="Завантажити сертифікат"/>
    <hyperlink ref="F1523" r:id="rId1512" tooltip="Завантажити сертифікат" display="Завантажити сертифікат"/>
    <hyperlink ref="F1524" r:id="rId1513" tooltip="Завантажити сертифікат" display="Завантажити сертифікат"/>
    <hyperlink ref="F1525" r:id="rId1514" tooltip="Завантажити сертифікат" display="Завантажити сертифікат"/>
    <hyperlink ref="F1526" r:id="rId1515" tooltip="Завантажити сертифікат" display="Завантажити сертифікат"/>
    <hyperlink ref="F1527" r:id="rId1516" tooltip="Завантажити сертифікат" display="Завантажити сертифікат"/>
    <hyperlink ref="F1528" r:id="rId1517" tooltip="Завантажити сертифікат" display="Завантажити сертифікат"/>
    <hyperlink ref="F1529" r:id="rId1518" tooltip="Завантажити сертифікат" display="Завантажити сертифікат"/>
    <hyperlink ref="F1530" r:id="rId1519" tooltip="Завантажити сертифікат" display="Завантажити сертифікат"/>
    <hyperlink ref="F1531" r:id="rId1520" tooltip="Завантажити сертифікат" display="Завантажити сертифікат"/>
    <hyperlink ref="F1532" r:id="rId1521" tooltip="Завантажити сертифікат" display="Завантажити сертифікат"/>
    <hyperlink ref="F1533" r:id="rId1522" tooltip="Завантажити сертифікат" display="Завантажити сертифікат"/>
    <hyperlink ref="F1534" r:id="rId1523" tooltip="Завантажити сертифікат" display="Завантажити сертифікат"/>
    <hyperlink ref="F1535" r:id="rId1524" tooltip="Завантажити сертифікат" display="Завантажити сертифікат"/>
    <hyperlink ref="F1536" r:id="rId1525" tooltip="Завантажити сертифікат" display="Завантажити сертифікат"/>
    <hyperlink ref="F1537" r:id="rId1526" tooltip="Завантажити сертифікат" display="Завантажити сертифікат"/>
    <hyperlink ref="F1538" r:id="rId1527" tooltip="Завантажити сертифікат" display="Завантажити сертифікат"/>
    <hyperlink ref="F1539" r:id="rId1528" tooltip="Завантажити сертифікат" display="Завантажити сертифікат"/>
    <hyperlink ref="F1540" r:id="rId1529" tooltip="Завантажити сертифікат" display="Завантажити сертифікат"/>
    <hyperlink ref="F1541" r:id="rId1530" tooltip="Завантажити сертифікат" display="Завантажити сертифікат"/>
    <hyperlink ref="F1542" r:id="rId1531" tooltip="Завантажити сертифікат" display="Завантажити сертифікат"/>
    <hyperlink ref="F1543" r:id="rId1532" tooltip="Завантажити сертифікат" display="Завантажити сертифікат"/>
    <hyperlink ref="F1544" r:id="rId1533" tooltip="Завантажити сертифікат" display="Завантажити сертифікат"/>
    <hyperlink ref="F1545" r:id="rId1534" tooltip="Завантажити сертифікат" display="Завантажити сертифікат"/>
    <hyperlink ref="F1546" r:id="rId1535" tooltip="Завантажити сертифікат" display="Завантажити сертифікат"/>
    <hyperlink ref="F1547" r:id="rId1536" tooltip="Завантажити сертифікат" display="Завантажити сертифікат"/>
    <hyperlink ref="F1548" r:id="rId1537" tooltip="Завантажити сертифікат" display="Завантажити сертифікат"/>
    <hyperlink ref="F1549" r:id="rId1538" tooltip="Завантажити сертифікат" display="Завантажити сертифікат"/>
    <hyperlink ref="F1550" r:id="rId1539" tooltip="Завантажити сертифікат" display="Завантажити сертифікат"/>
    <hyperlink ref="F1551" r:id="rId1540" tooltip="Завантажити сертифікат" display="Завантажити сертифікат"/>
    <hyperlink ref="F1552" r:id="rId1541" tooltip="Завантажити сертифікат" display="Завантажити сертифікат"/>
    <hyperlink ref="F1553" r:id="rId1542" tooltip="Завантажити сертифікат" display="Завантажити сертифікат"/>
    <hyperlink ref="F1554" r:id="rId1543" tooltip="Завантажити сертифікат" display="Завантажити сертифікат"/>
    <hyperlink ref="F1555" r:id="rId1544" tooltip="Завантажити сертифікат" display="Завантажити сертифікат"/>
    <hyperlink ref="F1556" r:id="rId1545" tooltip="Завантажити сертифікат" display="Завантажити сертифікат"/>
    <hyperlink ref="F1557" r:id="rId1546" tooltip="Завантажити сертифікат" display="Завантажити сертифікат"/>
    <hyperlink ref="F1558" r:id="rId1547" tooltip="Завантажити сертифікат" display="Завантажити сертифікат"/>
    <hyperlink ref="F1559" r:id="rId1548" tooltip="Завантажити сертифікат" display="Завантажити сертифікат"/>
    <hyperlink ref="F1560" r:id="rId1549" tooltip="Завантажити сертифікат" display="Завантажити сертифікат"/>
    <hyperlink ref="F1561" r:id="rId1550" tooltip="Завантажити сертифікат" display="Завантажити сертифікат"/>
    <hyperlink ref="F1562" r:id="rId1551" tooltip="Завантажити сертифікат" display="Завантажити сертифікат"/>
    <hyperlink ref="F1563" r:id="rId1552" tooltip="Завантажити сертифікат" display="Завантажити сертифікат"/>
    <hyperlink ref="F1564" r:id="rId1553" tooltip="Завантажити сертифікат" display="Завантажити сертифікат"/>
    <hyperlink ref="F1565" r:id="rId1554" tooltip="Завантажити сертифікат" display="Завантажити сертифікат"/>
    <hyperlink ref="F1566" r:id="rId1555" tooltip="Завантажити сертифікат" display="Завантажити сертифікат"/>
    <hyperlink ref="F1567" r:id="rId1556" tooltip="Завантажити сертифікат" display="Завантажити сертифікат"/>
    <hyperlink ref="F1568" r:id="rId1557" tooltip="Завантажити сертифікат" display="Завантажити сертифікат"/>
    <hyperlink ref="F1569" r:id="rId1558" tooltip="Завантажити сертифікат" display="Завантажити сертифікат"/>
    <hyperlink ref="F1570" r:id="rId1559" tooltip="Завантажити сертифікат" display="Завантажити сертифікат"/>
    <hyperlink ref="F1571" r:id="rId1560" tooltip="Завантажити сертифікат" display="Завантажити сертифікат"/>
    <hyperlink ref="F1572" r:id="rId1561" tooltip="Завантажити сертифікат" display="Завантажити сертифікат"/>
    <hyperlink ref="F1573" r:id="rId1562" tooltip="Завантажити сертифікат" display="Завантажити сертифікат"/>
    <hyperlink ref="F1574" r:id="rId1563" tooltip="Завантажити сертифікат" display="Завантажити сертифікат"/>
    <hyperlink ref="F1575" r:id="rId1564" tooltip="Завантажити сертифікат" display="Завантажити сертифікат"/>
    <hyperlink ref="F1576" r:id="rId1565" tooltip="Завантажити сертифікат" display="Завантажити сертифікат"/>
    <hyperlink ref="F1577" r:id="rId1566" tooltip="Завантажити сертифікат" display="Завантажити сертифікат"/>
    <hyperlink ref="F1578" r:id="rId1567" tooltip="Завантажити сертифікат" display="Завантажити сертифікат"/>
    <hyperlink ref="F1579" r:id="rId1568" tooltip="Завантажити сертифікат" display="Завантажити сертифікат"/>
    <hyperlink ref="F1580" r:id="rId1569" tooltip="Завантажити сертифікат" display="Завантажити сертифікат"/>
    <hyperlink ref="F1581" r:id="rId1570" tooltip="Завантажити сертифікат" display="Завантажити сертифікат"/>
    <hyperlink ref="F1582" r:id="rId1571" tooltip="Завантажити сертифікат" display="Завантажити сертифікат"/>
    <hyperlink ref="F1583" r:id="rId1572" tooltip="Завантажити сертифікат" display="Завантажити сертифікат"/>
    <hyperlink ref="F1584" r:id="rId1573" tooltip="Завантажити сертифікат" display="Завантажити сертифікат"/>
    <hyperlink ref="F1585" r:id="rId1574" tooltip="Завантажити сертифікат" display="Завантажити сертифікат"/>
    <hyperlink ref="F1586" r:id="rId1575" tooltip="Завантажити сертифікат" display="Завантажити сертифікат"/>
    <hyperlink ref="F1587" r:id="rId1576" tooltip="Завантажити сертифікат" display="Завантажити сертифікат"/>
    <hyperlink ref="F1588" r:id="rId1577" tooltip="Завантажити сертифікат" display="Завантажити сертифікат"/>
    <hyperlink ref="F1589" r:id="rId1578" tooltip="Завантажити сертифікат" display="Завантажити сертифікат"/>
    <hyperlink ref="F1590" r:id="rId1579" tooltip="Завантажити сертифікат" display="Завантажити сертифікат"/>
    <hyperlink ref="F1591" r:id="rId1580" tooltip="Завантажити сертифікат" display="Завантажити сертифікат"/>
    <hyperlink ref="F1592" r:id="rId1581" tooltip="Завантажити сертифікат" display="Завантажити сертифікат"/>
    <hyperlink ref="F1593" r:id="rId1582" tooltip="Завантажити сертифікат" display="Завантажити сертифікат"/>
    <hyperlink ref="F1594" r:id="rId1583" tooltip="Завантажити сертифікат" display="Завантажити сертифікат"/>
    <hyperlink ref="F1595" r:id="rId1584" tooltip="Завантажити сертифікат" display="Завантажити сертифікат"/>
    <hyperlink ref="F1596" r:id="rId1585" tooltip="Завантажити сертифікат" display="Завантажити сертифікат"/>
    <hyperlink ref="F1597" r:id="rId1586" tooltip="Завантажити сертифікат" display="Завантажити сертифікат"/>
    <hyperlink ref="F1598" r:id="rId1587" tooltip="Завантажити сертифікат" display="Завантажити сертифікат"/>
    <hyperlink ref="F1599" r:id="rId1588" tooltip="Завантажити сертифікат" display="Завантажити сертифікат"/>
    <hyperlink ref="F1600" r:id="rId1589" tooltip="Завантажити сертифікат" display="Завантажити сертифікат"/>
    <hyperlink ref="F1601" r:id="rId1590" tooltip="Завантажити сертифікат" display="Завантажити сертифікат"/>
    <hyperlink ref="F1602" r:id="rId1591" tooltip="Завантажити сертифікат" display="Завантажити сертифікат"/>
    <hyperlink ref="F1603" r:id="rId1592" tooltip="Завантажити сертифікат" display="Завантажити сертифікат"/>
    <hyperlink ref="F1604" r:id="rId1593" tooltip="Завантажити сертифікат" display="Завантажити сертифікат"/>
    <hyperlink ref="F1605" r:id="rId1594" tooltip="Завантажити сертифікат" display="Завантажити сертифікат"/>
    <hyperlink ref="F1606" r:id="rId1595" tooltip="Завантажити сертифікат" display="Завантажити сертифікат"/>
    <hyperlink ref="F1607" r:id="rId1596" tooltip="Завантажити сертифікат" display="Завантажити сертифікат"/>
    <hyperlink ref="F1608" r:id="rId1597" tooltip="Завантажити сертифікат" display="Завантажити сертифікат"/>
    <hyperlink ref="F1609" r:id="rId1598" tooltip="Завантажити сертифікат" display="Завантажити сертифікат"/>
    <hyperlink ref="F1610" r:id="rId1599" tooltip="Завантажити сертифікат" display="Завантажити сертифікат"/>
    <hyperlink ref="F1611" r:id="rId1600" tooltip="Завантажити сертифікат" display="Завантажити сертифікат"/>
    <hyperlink ref="F1612" r:id="rId1601" tooltip="Завантажити сертифікат" display="Завантажити сертифікат"/>
    <hyperlink ref="F1613" r:id="rId1602" tooltip="Завантажити сертифікат" display="Завантажити сертифікат"/>
    <hyperlink ref="F1614" r:id="rId1603" tooltip="Завантажити сертифікат" display="Завантажити сертифікат"/>
    <hyperlink ref="F1615" r:id="rId1604" tooltip="Завантажити сертифікат" display="Завантажити сертифікат"/>
    <hyperlink ref="F1616" r:id="rId1605" tooltip="Завантажити сертифікат" display="Завантажити сертифікат"/>
    <hyperlink ref="F1617" r:id="rId1606" tooltip="Завантажити сертифікат" display="Завантажити сертифікат"/>
    <hyperlink ref="F1618" r:id="rId1607" tooltip="Завантажити сертифікат" display="Завантажити сертифікат"/>
    <hyperlink ref="F1619" r:id="rId1608" tooltip="Завантажити сертифікат" display="Завантажити сертифікат"/>
    <hyperlink ref="F1620" r:id="rId1609" tooltip="Завантажити сертифікат" display="Завантажити сертифікат"/>
    <hyperlink ref="F1621" r:id="rId1610" tooltip="Завантажити сертифікат" display="Завантажити сертифікат"/>
    <hyperlink ref="F1622" r:id="rId1611" tooltip="Завантажити сертифікат" display="Завантажити сертифікат"/>
    <hyperlink ref="F1623" r:id="rId1612" tooltip="Завантажити сертифікат" display="Завантажити сертифікат"/>
    <hyperlink ref="F1624" r:id="rId1613" tooltip="Завантажити сертифікат" display="Завантажити сертифікат"/>
    <hyperlink ref="F1625" r:id="rId1614" tooltip="Завантажити сертифікат" display="Завантажити сертифікат"/>
    <hyperlink ref="F1626" r:id="rId1615" tooltip="Завантажити сертифікат" display="Завантажити сертифікат"/>
    <hyperlink ref="F1627" r:id="rId1616" tooltip="Завантажити сертифікат" display="Завантажити сертифікат"/>
    <hyperlink ref="F1628" r:id="rId1617" tooltip="Завантажити сертифікат" display="Завантажити сертифікат"/>
    <hyperlink ref="F1629" r:id="rId1618" tooltip="Завантажити сертифікат" display="Завантажити сертифікат"/>
    <hyperlink ref="F1630" r:id="rId1619" tooltip="Завантажити сертифікат" display="Завантажити сертифікат"/>
    <hyperlink ref="F1631" r:id="rId1620" tooltip="Завантажити сертифікат" display="Завантажити сертифікат"/>
    <hyperlink ref="F1632" r:id="rId1621" tooltip="Завантажити сертифікат" display="Завантажити сертифікат"/>
    <hyperlink ref="F1633" r:id="rId1622" tooltip="Завантажити сертифікат" display="Завантажити сертифікат"/>
    <hyperlink ref="F1634" r:id="rId1623" tooltip="Завантажити сертифікат" display="Завантажити сертифікат"/>
    <hyperlink ref="F1635" r:id="rId1624" tooltip="Завантажити сертифікат" display="Завантажити сертифікат"/>
    <hyperlink ref="F1636" r:id="rId1625" tooltip="Завантажити сертифікат" display="Завантажити сертифікат"/>
    <hyperlink ref="F1637" r:id="rId1626" tooltip="Завантажити сертифікат" display="Завантажити сертифікат"/>
    <hyperlink ref="F1638" r:id="rId1627" tooltip="Завантажити сертифікат" display="Завантажити сертифікат"/>
    <hyperlink ref="F1639" r:id="rId1628" tooltip="Завантажити сертифікат" display="Завантажити сертифікат"/>
    <hyperlink ref="F1640" r:id="rId1629" tooltip="Завантажити сертифікат" display="Завантажити сертифікат"/>
    <hyperlink ref="F1641" r:id="rId1630" tooltip="Завантажити сертифікат" display="Завантажити сертифікат"/>
    <hyperlink ref="F1642" r:id="rId1631" tooltip="Завантажити сертифікат" display="Завантажити сертифікат"/>
    <hyperlink ref="F1643" r:id="rId1632" tooltip="Завантажити сертифікат" display="Завантажити сертифікат"/>
    <hyperlink ref="F1644" r:id="rId1633" tooltip="Завантажити сертифікат" display="Завантажити сертифікат"/>
    <hyperlink ref="F1645" r:id="rId1634" tooltip="Завантажити сертифікат" display="Завантажити сертифікат"/>
    <hyperlink ref="F1646" r:id="rId1635" tooltip="Завантажити сертифікат" display="Завантажити сертифікат"/>
    <hyperlink ref="F1647" r:id="rId1636" tooltip="Завантажити сертифікат" display="Завантажити сертифікат"/>
    <hyperlink ref="F1648" r:id="rId1637" tooltip="Завантажити сертифікат" display="Завантажити сертифікат"/>
    <hyperlink ref="F1649" r:id="rId1638" tooltip="Завантажити сертифікат" display="Завантажити сертифікат"/>
    <hyperlink ref="F1650" r:id="rId1639" tooltip="Завантажити сертифікат" display="Завантажити сертифікат"/>
    <hyperlink ref="F1651" r:id="rId1640" tooltip="Завантажити сертифікат" display="Завантажити сертифікат"/>
    <hyperlink ref="F1652" r:id="rId1641" tooltip="Завантажити сертифікат" display="Завантажити сертифікат"/>
    <hyperlink ref="F1653" r:id="rId1642" tooltip="Завантажити сертифікат" display="Завантажити сертифікат"/>
    <hyperlink ref="F1654" r:id="rId1643" tooltip="Завантажити сертифікат" display="Завантажити сертифікат"/>
    <hyperlink ref="F1655" r:id="rId1644" tooltip="Завантажити сертифікат" display="Завантажити сертифікат"/>
    <hyperlink ref="F1656" r:id="rId1645" tooltip="Завантажити сертифікат" display="Завантажити сертифікат"/>
    <hyperlink ref="F1657" r:id="rId1646" tooltip="Завантажити сертифікат" display="Завантажити сертифікат"/>
    <hyperlink ref="F1658" r:id="rId1647" tooltip="Завантажити сертифікат" display="Завантажити сертифікат"/>
    <hyperlink ref="F1659" r:id="rId1648" tooltip="Завантажити сертифікат" display="Завантажити сертифікат"/>
    <hyperlink ref="F1660" r:id="rId1649" tooltip="Завантажити сертифікат" display="Завантажити сертифікат"/>
    <hyperlink ref="F1661" r:id="rId1650" tooltip="Завантажити сертифікат" display="Завантажити сертифікат"/>
    <hyperlink ref="F1662" r:id="rId1651" tooltip="Завантажити сертифікат" display="Завантажити сертифікат"/>
    <hyperlink ref="F1663" r:id="rId1652" tooltip="Завантажити сертифікат" display="Завантажити сертифікат"/>
    <hyperlink ref="F1664" r:id="rId1653" tooltip="Завантажити сертифікат" display="Завантажити сертифікат"/>
    <hyperlink ref="F1665" r:id="rId1654" tooltip="Завантажити сертифікат" display="Завантажити сертифікат"/>
    <hyperlink ref="F1666" r:id="rId1655" tooltip="Завантажити сертифікат" display="Завантажити сертифікат"/>
    <hyperlink ref="F1667" r:id="rId1656" tooltip="Завантажити сертифікат" display="Завантажити сертифікат"/>
    <hyperlink ref="F1668" r:id="rId1657" tooltip="Завантажити сертифікат" display="Завантажити сертифікат"/>
    <hyperlink ref="F1669" r:id="rId1658" tooltip="Завантажити сертифікат" display="Завантажити сертифікат"/>
    <hyperlink ref="F1670" r:id="rId1659" tooltip="Завантажити сертифікат" display="Завантажити сертифікат"/>
    <hyperlink ref="F1671" r:id="rId1660" tooltip="Завантажити сертифікат" display="Завантажити сертифікат"/>
    <hyperlink ref="F1672" r:id="rId1661" tooltip="Завантажити сертифікат" display="Завантажити сертифікат"/>
    <hyperlink ref="F1673" r:id="rId1662" tooltip="Завантажити сертифікат" display="Завантажити сертифікат"/>
    <hyperlink ref="F1674" r:id="rId1663" tooltip="Завантажити сертифікат" display="Завантажити сертифікат"/>
    <hyperlink ref="F1675" r:id="rId1664" tooltip="Завантажити сертифікат" display="Завантажити сертифікат"/>
    <hyperlink ref="F1676" r:id="rId1665" tooltip="Завантажити сертифікат" display="Завантажити сертифікат"/>
    <hyperlink ref="F1677" r:id="rId1666" tooltip="Завантажити сертифікат" display="Завантажити сертифікат"/>
    <hyperlink ref="F1678" r:id="rId1667" tooltip="Завантажити сертифікат" display="Завантажити сертифікат"/>
    <hyperlink ref="F1679" r:id="rId1668" tooltip="Завантажити сертифікат" display="Завантажити сертифікат"/>
    <hyperlink ref="F1680" r:id="rId1669" tooltip="Завантажити сертифікат" display="Завантажити сертифікат"/>
    <hyperlink ref="F1681" r:id="rId1670" tooltip="Завантажити сертифікат" display="Завантажити сертифікат"/>
    <hyperlink ref="F1682" r:id="rId1671" tooltip="Завантажити сертифікат" display="Завантажити сертифікат"/>
    <hyperlink ref="F1683" r:id="rId1672" tooltip="Завантажити сертифікат" display="Завантажити сертифікат"/>
    <hyperlink ref="F1684" r:id="rId1673" tooltip="Завантажити сертифікат" display="Завантажити сертифікат"/>
    <hyperlink ref="F1685" r:id="rId1674" tooltip="Завантажити сертифікат" display="Завантажити сертифікат"/>
    <hyperlink ref="F1686" r:id="rId1675" tooltip="Завантажити сертифікат" display="Завантажити сертифікат"/>
    <hyperlink ref="F1687" r:id="rId1676" tooltip="Завантажити сертифікат" display="Завантажити сертифікат"/>
    <hyperlink ref="F1688" r:id="rId1677" tooltip="Завантажити сертифікат" display="Завантажити сертифікат"/>
    <hyperlink ref="F1689" r:id="rId1678" tooltip="Завантажити сертифікат" display="Завантажити сертифікат"/>
    <hyperlink ref="F1690" r:id="rId1679" tooltip="Завантажити сертифікат" display="Завантажити сертифікат"/>
    <hyperlink ref="F1691" r:id="rId1680" tooltip="Завантажити сертифікат" display="Завантажити сертифікат"/>
    <hyperlink ref="F1692" r:id="rId1681" tooltip="Завантажити сертифікат" display="Завантажити сертифікат"/>
    <hyperlink ref="F1693" r:id="rId1682" tooltip="Завантажити сертифікат" display="Завантажити сертифікат"/>
    <hyperlink ref="F1694" r:id="rId1683" tooltip="Завантажити сертифікат" display="Завантажити сертифікат"/>
    <hyperlink ref="F1695" r:id="rId1684" tooltip="Завантажити сертифікат" display="Завантажити сертифікат"/>
    <hyperlink ref="F1696" r:id="rId1685" tooltip="Завантажити сертифікат" display="Завантажити сертифікат"/>
    <hyperlink ref="F1697" r:id="rId1686" tooltip="Завантажити сертифікат" display="Завантажити сертифікат"/>
    <hyperlink ref="F1698" r:id="rId1687" tooltip="Завантажити сертифікат" display="Завантажити сертифікат"/>
    <hyperlink ref="F1699" r:id="rId1688" tooltip="Завантажити сертифікат" display="Завантажити сертифікат"/>
    <hyperlink ref="F1700" r:id="rId1689" tooltip="Завантажити сертифікат" display="Завантажити сертифікат"/>
    <hyperlink ref="F1701" r:id="rId1690" tooltip="Завантажити сертифікат" display="Завантажити сертифікат"/>
    <hyperlink ref="F1702" r:id="rId1691" tooltip="Завантажити сертифікат" display="Завантажити сертифікат"/>
    <hyperlink ref="F1703" r:id="rId1692" tooltip="Завантажити сертифікат" display="Завантажити сертифікат"/>
    <hyperlink ref="F1704" r:id="rId1693" tooltip="Завантажити сертифікат" display="Завантажити сертифікат"/>
    <hyperlink ref="F1705" r:id="rId1694" tooltip="Завантажити сертифікат" display="Завантажити сертифікат"/>
    <hyperlink ref="F1706" r:id="rId1695" tooltip="Завантажити сертифікат" display="Завантажити сертифікат"/>
    <hyperlink ref="F1707" r:id="rId1696" tooltip="Завантажити сертифікат" display="Завантажити сертифікат"/>
    <hyperlink ref="F1708" r:id="rId1697" tooltip="Завантажити сертифікат" display="Завантажити сертифікат"/>
    <hyperlink ref="F1709" r:id="rId1698" tooltip="Завантажити сертифікат" display="Завантажити сертифікат"/>
    <hyperlink ref="F1710" r:id="rId1699" tooltip="Завантажити сертифікат" display="Завантажити сертифікат"/>
    <hyperlink ref="F1711" r:id="rId1700" tooltip="Завантажити сертифікат" display="Завантажити сертифікат"/>
    <hyperlink ref="F1712" r:id="rId1701" tooltip="Завантажити сертифікат" display="Завантажити сертифікат"/>
    <hyperlink ref="F1713" r:id="rId1702" tooltip="Завантажити сертифікат" display="Завантажити сертифікат"/>
    <hyperlink ref="F1714" r:id="rId1703" tooltip="Завантажити сертифікат" display="Завантажити сертифікат"/>
    <hyperlink ref="F1715" r:id="rId1704" tooltip="Завантажити сертифікат" display="Завантажити сертифікат"/>
    <hyperlink ref="F1716" r:id="rId1705" tooltip="Завантажити сертифікат" display="Завантажити сертифікат"/>
    <hyperlink ref="F1717" r:id="rId1706" tooltip="Завантажити сертифікат" display="Завантажити сертифікат"/>
    <hyperlink ref="F1718" r:id="rId1707" tooltip="Завантажити сертифікат" display="Завантажити сертифікат"/>
    <hyperlink ref="F1719" r:id="rId1708" tooltip="Завантажити сертифікат" display="Завантажити сертифікат"/>
    <hyperlink ref="F1720" r:id="rId1709" tooltip="Завантажити сертифікат" display="Завантажити сертифікат"/>
    <hyperlink ref="F1721" r:id="rId1710" tooltip="Завантажити сертифікат" display="Завантажити сертифікат"/>
    <hyperlink ref="F1722" r:id="rId1711" tooltip="Завантажити сертифікат" display="Завантажити сертифікат"/>
    <hyperlink ref="F1723" r:id="rId1712" tooltip="Завантажити сертифікат" display="Завантажити сертифікат"/>
    <hyperlink ref="F1724" r:id="rId1713" tooltip="Завантажити сертифікат" display="Завантажити сертифікат"/>
    <hyperlink ref="F1725" r:id="rId1714" tooltip="Завантажити сертифікат" display="Завантажити сертифікат"/>
    <hyperlink ref="F1726" r:id="rId1715" tooltip="Завантажити сертифікат" display="Завантажити сертифікат"/>
    <hyperlink ref="F1727" r:id="rId1716" tooltip="Завантажити сертифікат" display="Завантажити сертифікат"/>
    <hyperlink ref="F1728" r:id="rId1717" tooltip="Завантажити сертифікат" display="Завантажити сертифікат"/>
    <hyperlink ref="F1729" r:id="rId1718" tooltip="Завантажити сертифікат" display="Завантажити сертифікат"/>
    <hyperlink ref="F1730" r:id="rId1719" tooltip="Завантажити сертифікат" display="Завантажити сертифікат"/>
    <hyperlink ref="F1731" r:id="rId1720" tooltip="Завантажити сертифікат" display="Завантажити сертифікат"/>
    <hyperlink ref="F1732" r:id="rId1721" tooltip="Завантажити сертифікат" display="Завантажити сертифікат"/>
    <hyperlink ref="F1733" r:id="rId1722" tooltip="Завантажити сертифікат" display="Завантажити сертифікат"/>
    <hyperlink ref="F1734" r:id="rId1723" tooltip="Завантажити сертифікат" display="Завантажити сертифікат"/>
    <hyperlink ref="F1735" r:id="rId1724" tooltip="Завантажити сертифікат" display="Завантажити сертифікат"/>
    <hyperlink ref="F1736" r:id="rId1725" tooltip="Завантажити сертифікат" display="Завантажити сертифікат"/>
    <hyperlink ref="F1737" r:id="rId1726" tooltip="Завантажити сертифікат" display="Завантажити сертифікат"/>
    <hyperlink ref="F1738" r:id="rId1727" tooltip="Завантажити сертифікат" display="Завантажити сертифікат"/>
    <hyperlink ref="F1739" r:id="rId1728" tooltip="Завантажити сертифікат" display="Завантажити сертифікат"/>
    <hyperlink ref="F1740" r:id="rId1729" tooltip="Завантажити сертифікат" display="Завантажити сертифікат"/>
    <hyperlink ref="F1741" r:id="rId1730" tooltip="Завантажити сертифікат" display="Завантажити сертифікат"/>
    <hyperlink ref="F1742" r:id="rId1731" tooltip="Завантажити сертифікат" display="Завантажити сертифікат"/>
    <hyperlink ref="F1743" r:id="rId1732" tooltip="Завантажити сертифікат" display="Завантажити сертифікат"/>
    <hyperlink ref="F1744" r:id="rId1733" tooltip="Завантажити сертифікат" display="Завантажити сертифікат"/>
    <hyperlink ref="F1745" r:id="rId1734" tooltip="Завантажити сертифікат" display="Завантажити сертифікат"/>
    <hyperlink ref="F1746" r:id="rId1735" tooltip="Завантажити сертифікат" display="Завантажити сертифікат"/>
    <hyperlink ref="F1747" r:id="rId1736" tooltip="Завантажити сертифікат" display="Завантажити сертифікат"/>
    <hyperlink ref="F1748" r:id="rId1737" tooltip="Завантажити сертифікат" display="Завантажити сертифікат"/>
    <hyperlink ref="F1749" r:id="rId1738" tooltip="Завантажити сертифікат" display="Завантажити сертифікат"/>
    <hyperlink ref="F1750" r:id="rId1739" tooltip="Завантажити сертифікат" display="Завантажити сертифікат"/>
    <hyperlink ref="F1751" r:id="rId1740" tooltip="Завантажити сертифікат" display="Завантажити сертифікат"/>
    <hyperlink ref="F1752" r:id="rId1741" tooltip="Завантажити сертифікат" display="Завантажити сертифікат"/>
    <hyperlink ref="F1753" r:id="rId1742" tooltip="Завантажити сертифікат" display="Завантажити сертифікат"/>
    <hyperlink ref="F1754" r:id="rId1743" tooltip="Завантажити сертифікат" display="Завантажити сертифікат"/>
    <hyperlink ref="F1755" r:id="rId1744" tooltip="Завантажити сертифікат" display="Завантажити сертифікат"/>
    <hyperlink ref="F1756" r:id="rId1745" tooltip="Завантажити сертифікат" display="Завантажити сертифікат"/>
    <hyperlink ref="F1757" r:id="rId1746" tooltip="Завантажити сертифікат" display="Завантажити сертифікат"/>
    <hyperlink ref="F1758" r:id="rId1747" tooltip="Завантажити сертифікат" display="Завантажити сертифікат"/>
    <hyperlink ref="F1759" r:id="rId1748" tooltip="Завантажити сертифікат" display="Завантажити сертифікат"/>
    <hyperlink ref="F1760" r:id="rId1749" tooltip="Завантажити сертифікат" display="Завантажити сертифікат"/>
    <hyperlink ref="F1761" r:id="rId1750" tooltip="Завантажити сертифікат" display="Завантажити сертифікат"/>
    <hyperlink ref="F1762" r:id="rId1751" tooltip="Завантажити сертифікат" display="Завантажити сертифікат"/>
    <hyperlink ref="F1763" r:id="rId1752" tooltip="Завантажити сертифікат" display="Завантажити сертифікат"/>
    <hyperlink ref="F1764" r:id="rId1753" tooltip="Завантажити сертифікат" display="Завантажити сертифікат"/>
    <hyperlink ref="F1765" r:id="rId1754" tooltip="Завантажити сертифікат" display="Завантажити сертифікат"/>
    <hyperlink ref="F1766" r:id="rId1755" tooltip="Завантажити сертифікат" display="Завантажити сертифікат"/>
    <hyperlink ref="F1767" r:id="rId1756" tooltip="Завантажити сертифікат" display="Завантажити сертифікат"/>
    <hyperlink ref="F1768" r:id="rId1757" tooltip="Завантажити сертифікат" display="Завантажити сертифікат"/>
    <hyperlink ref="F1769" r:id="rId1758" tooltip="Завантажити сертифікат" display="Завантажити сертифікат"/>
    <hyperlink ref="F1770" r:id="rId1759" tooltip="Завантажити сертифікат" display="Завантажити сертифікат"/>
    <hyperlink ref="F1771" r:id="rId1760" tooltip="Завантажити сертифікат" display="Завантажити сертифікат"/>
    <hyperlink ref="F1772" r:id="rId1761" tooltip="Завантажити сертифікат" display="Завантажити сертифікат"/>
    <hyperlink ref="F1773" r:id="rId1762" tooltip="Завантажити сертифікат" display="Завантажити сертифікат"/>
    <hyperlink ref="F1774" r:id="rId1763" tooltip="Завантажити сертифікат" display="Завантажити сертифікат"/>
    <hyperlink ref="F1775" r:id="rId1764" tooltip="Завантажити сертифікат" display="Завантажити сертифікат"/>
    <hyperlink ref="F1776" r:id="rId1765" tooltip="Завантажити сертифікат" display="Завантажити сертифікат"/>
    <hyperlink ref="F1777" r:id="rId1766" tooltip="Завантажити сертифікат" display="Завантажити сертифікат"/>
    <hyperlink ref="F1778" r:id="rId1767" tooltip="Завантажити сертифікат" display="Завантажити сертифікат"/>
    <hyperlink ref="F1779" r:id="rId1768" tooltip="Завантажити сертифікат" display="Завантажити сертифікат"/>
    <hyperlink ref="F1780" r:id="rId1769" tooltip="Завантажити сертифікат" display="Завантажити сертифікат"/>
    <hyperlink ref="F1781" r:id="rId1770" tooltip="Завантажити сертифікат" display="Завантажити сертифікат"/>
    <hyperlink ref="F1782" r:id="rId1771" tooltip="Завантажити сертифікат" display="Завантажити сертифікат"/>
    <hyperlink ref="F1783" r:id="rId1772" tooltip="Завантажити сертифікат" display="Завантажити сертифікат"/>
    <hyperlink ref="F1784" r:id="rId1773" tooltip="Завантажити сертифікат" display="Завантажити сертифікат"/>
    <hyperlink ref="F1785" r:id="rId1774" tooltip="Завантажити сертифікат" display="Завантажити сертифікат"/>
    <hyperlink ref="F1786" r:id="rId1775" tooltip="Завантажити сертифікат" display="Завантажити сертифікат"/>
    <hyperlink ref="F1787" r:id="rId1776" tooltip="Завантажити сертифікат" display="Завантажити сертифікат"/>
    <hyperlink ref="F1788" r:id="rId1777" tooltip="Завантажити сертифікат" display="Завантажити сертифікат"/>
    <hyperlink ref="F1789" r:id="rId1778" tooltip="Завантажити сертифікат" display="Завантажити сертифікат"/>
    <hyperlink ref="F1790" r:id="rId1779" tooltip="Завантажити сертифікат" display="Завантажити сертифікат"/>
    <hyperlink ref="F1791" r:id="rId1780" tooltip="Завантажити сертифікат" display="Завантажити сертифікат"/>
    <hyperlink ref="F1792" r:id="rId1781" tooltip="Завантажити сертифікат" display="Завантажити сертифікат"/>
    <hyperlink ref="F1793" r:id="rId1782" tooltip="Завантажити сертифікат" display="Завантажити сертифікат"/>
    <hyperlink ref="F1794" r:id="rId1783" tooltip="Завантажити сертифікат" display="Завантажити сертифікат"/>
    <hyperlink ref="F1795" r:id="rId1784" tooltip="Завантажити сертифікат" display="Завантажити сертифікат"/>
    <hyperlink ref="F1796" r:id="rId1785" tooltip="Завантажити сертифікат" display="Завантажити сертифікат"/>
    <hyperlink ref="F1797" r:id="rId1786" tooltip="Завантажити сертифікат" display="Завантажити сертифікат"/>
    <hyperlink ref="F1798" r:id="rId1787" tooltip="Завантажити сертифікат" display="Завантажити сертифікат"/>
    <hyperlink ref="F1799" r:id="rId1788" tooltip="Завантажити сертифікат" display="Завантажити сертифікат"/>
    <hyperlink ref="F1800" r:id="rId1789" tooltip="Завантажити сертифікат" display="Завантажити сертифікат"/>
    <hyperlink ref="F1801" r:id="rId1790" tooltip="Завантажити сертифікат" display="Завантажити сертифікат"/>
    <hyperlink ref="F1802" r:id="rId1791" tooltip="Завантажити сертифікат" display="Завантажити сертифікат"/>
    <hyperlink ref="F1803" r:id="rId1792" tooltip="Завантажити сертифікат" display="Завантажити сертифікат"/>
    <hyperlink ref="F1804" r:id="rId1793" tooltip="Завантажити сертифікат" display="Завантажити сертифікат"/>
    <hyperlink ref="F1805" r:id="rId1794" tooltip="Завантажити сертифікат" display="Завантажити сертифікат"/>
    <hyperlink ref="F1806" r:id="rId1795" tooltip="Завантажити сертифікат" display="Завантажити сертифікат"/>
    <hyperlink ref="F1807" r:id="rId1796" tooltip="Завантажити сертифікат" display="Завантажити сертифікат"/>
    <hyperlink ref="F1808" r:id="rId1797" tooltip="Завантажити сертифікат" display="Завантажити сертифікат"/>
    <hyperlink ref="F1809" r:id="rId1798" tooltip="Завантажити сертифікат" display="Завантажити сертифікат"/>
    <hyperlink ref="F1810" r:id="rId1799" tooltip="Завантажити сертифікат" display="Завантажити сертифікат"/>
    <hyperlink ref="F1811" r:id="rId1800" tooltip="Завантажити сертифікат" display="Завантажити сертифікат"/>
    <hyperlink ref="F1812" r:id="rId1801" tooltip="Завантажити сертифікат" display="Завантажити сертифікат"/>
    <hyperlink ref="F1813" r:id="rId1802" tooltip="Завантажити сертифікат" display="Завантажити сертифікат"/>
    <hyperlink ref="F1814" r:id="rId1803" tooltip="Завантажити сертифікат" display="Завантажити сертифікат"/>
    <hyperlink ref="F1815" r:id="rId1804" tooltip="Завантажити сертифікат" display="Завантажити сертифікат"/>
    <hyperlink ref="F1816" r:id="rId1805" tooltip="Завантажити сертифікат" display="Завантажити сертифікат"/>
    <hyperlink ref="F1817" r:id="rId1806" tooltip="Завантажити сертифікат" display="Завантажити сертифікат"/>
    <hyperlink ref="F1818" r:id="rId1807" tooltip="Завантажити сертифікат" display="Завантажити сертифікат"/>
    <hyperlink ref="F1819" r:id="rId1808" tooltip="Завантажити сертифікат" display="Завантажити сертифікат"/>
    <hyperlink ref="F1820" r:id="rId1809" tooltip="Завантажити сертифікат" display="Завантажити сертифікат"/>
    <hyperlink ref="F1821" r:id="rId1810" tooltip="Завантажити сертифікат" display="Завантажити сертифікат"/>
    <hyperlink ref="F1822" r:id="rId1811" tooltip="Завантажити сертифікат" display="Завантажити сертифікат"/>
    <hyperlink ref="F1823" r:id="rId1812" tooltip="Завантажити сертифікат" display="Завантажити сертифікат"/>
    <hyperlink ref="F1824" r:id="rId1813" tooltip="Завантажити сертифікат" display="Завантажити сертифікат"/>
    <hyperlink ref="F1825" r:id="rId1814" tooltip="Завантажити сертифікат" display="Завантажити сертифікат"/>
    <hyperlink ref="F1826" r:id="rId1815" tooltip="Завантажити сертифікат" display="Завантажити сертифікат"/>
    <hyperlink ref="F1827" r:id="rId1816" tooltip="Завантажити сертифікат" display="Завантажити сертифікат"/>
    <hyperlink ref="F1828" r:id="rId1817" tooltip="Завантажити сертифікат" display="Завантажити сертифікат"/>
    <hyperlink ref="F1829" r:id="rId1818" tooltip="Завантажити сертифікат" display="Завантажити сертифікат"/>
    <hyperlink ref="F1830" r:id="rId1819" tooltip="Завантажити сертифікат" display="Завантажити сертифікат"/>
    <hyperlink ref="F1831" r:id="rId1820" tooltip="Завантажити сертифікат" display="Завантажити сертифікат"/>
    <hyperlink ref="F1832" r:id="rId1821" tooltip="Завантажити сертифікат" display="Завантажити сертифікат"/>
    <hyperlink ref="F1833" r:id="rId1822" tooltip="Завантажити сертифікат" display="Завантажити сертифікат"/>
    <hyperlink ref="F1834" r:id="rId1823" tooltip="Завантажити сертифікат" display="Завантажити сертифікат"/>
    <hyperlink ref="F1835" r:id="rId1824" tooltip="Завантажити сертифікат" display="Завантажити сертифікат"/>
    <hyperlink ref="F1836" r:id="rId1825" tooltip="Завантажити сертифікат" display="Завантажити сертифікат"/>
    <hyperlink ref="F1837" r:id="rId1826" tooltip="Завантажити сертифікат" display="Завантажити сертифікат"/>
    <hyperlink ref="F1838" r:id="rId1827" tooltip="Завантажити сертифікат" display="Завантажити сертифікат"/>
    <hyperlink ref="F1839" r:id="rId1828" tooltip="Завантажити сертифікат" display="Завантажити сертифікат"/>
    <hyperlink ref="F1840" r:id="rId1829" tooltip="Завантажити сертифікат" display="Завантажити сертифікат"/>
    <hyperlink ref="F1841" r:id="rId1830" tooltip="Завантажити сертифікат" display="Завантажити сертифікат"/>
    <hyperlink ref="F1842" r:id="rId1831" tooltip="Завантажити сертифікат" display="Завантажити сертифікат"/>
    <hyperlink ref="F1843" r:id="rId1832" tooltip="Завантажити сертифікат" display="Завантажити сертифікат"/>
    <hyperlink ref="F1844" r:id="rId1833" tooltip="Завантажити сертифікат" display="Завантажити сертифікат"/>
    <hyperlink ref="F1845" r:id="rId1834" tooltip="Завантажити сертифікат" display="Завантажити сертифікат"/>
    <hyperlink ref="F1846" r:id="rId1835" tooltip="Завантажити сертифікат" display="Завантажити сертифікат"/>
    <hyperlink ref="F1847" r:id="rId1836" tooltip="Завантажити сертифікат" display="Завантажити сертифікат"/>
    <hyperlink ref="F1848" r:id="rId1837" tooltip="Завантажити сертифікат" display="Завантажити сертифікат"/>
    <hyperlink ref="F1849" r:id="rId1838" tooltip="Завантажити сертифікат" display="Завантажити сертифікат"/>
    <hyperlink ref="F1850" r:id="rId1839" tooltip="Завантажити сертифікат" display="Завантажити сертифікат"/>
    <hyperlink ref="F1851" r:id="rId1840" tooltip="Завантажити сертифікат" display="Завантажити сертифікат"/>
    <hyperlink ref="F1852" r:id="rId1841" tooltip="Завантажити сертифікат" display="Завантажити сертифікат"/>
    <hyperlink ref="F1853" r:id="rId1842" tooltip="Завантажити сертифікат" display="Завантажити сертифікат"/>
    <hyperlink ref="F1854" r:id="rId1843" tooltip="Завантажити сертифікат" display="Завантажити сертифікат"/>
    <hyperlink ref="F1855" r:id="rId1844" tooltip="Завантажити сертифікат" display="Завантажити сертифікат"/>
    <hyperlink ref="F1856" r:id="rId1845" tooltip="Завантажити сертифікат" display="Завантажити сертифікат"/>
    <hyperlink ref="F1857" r:id="rId1846" tooltip="Завантажити сертифікат" display="Завантажити сертифікат"/>
    <hyperlink ref="F1858" r:id="rId1847" tooltip="Завантажити сертифікат" display="Завантажити сертифікат"/>
    <hyperlink ref="F1859" r:id="rId1848" tooltip="Завантажити сертифікат" display="Завантажити сертифікат"/>
    <hyperlink ref="F1860" r:id="rId1849" tooltip="Завантажити сертифікат" display="Завантажити сертифікат"/>
    <hyperlink ref="F1861" r:id="rId1850" tooltip="Завантажити сертифікат" display="Завантажити сертифікат"/>
    <hyperlink ref="F1862" r:id="rId1851" tooltip="Завантажити сертифікат" display="Завантажити сертифікат"/>
    <hyperlink ref="F1863" r:id="rId1852" tooltip="Завантажити сертифікат" display="Завантажити сертифікат"/>
    <hyperlink ref="F1864" r:id="rId1853" tooltip="Завантажити сертифікат" display="Завантажити сертифікат"/>
    <hyperlink ref="F1865" r:id="rId1854" tooltip="Завантажити сертифікат" display="Завантажити сертифікат"/>
    <hyperlink ref="F1866" r:id="rId1855" tooltip="Завантажити сертифікат" display="Завантажити сертифікат"/>
    <hyperlink ref="F1867" r:id="rId1856" tooltip="Завантажити сертифікат" display="Завантажити сертифікат"/>
    <hyperlink ref="F1868" r:id="rId1857" tooltip="Завантажити сертифікат" display="Завантажити сертифікат"/>
    <hyperlink ref="F1869" r:id="rId1858" tooltip="Завантажити сертифікат" display="Завантажити сертифікат"/>
    <hyperlink ref="F1870" r:id="rId1859" tooltip="Завантажити сертифікат" display="Завантажити сертифікат"/>
    <hyperlink ref="F1871" r:id="rId1860" tooltip="Завантажити сертифікат" display="Завантажити сертифікат"/>
    <hyperlink ref="F1872" r:id="rId1861" tooltip="Завантажити сертифікат" display="Завантажити сертифікат"/>
    <hyperlink ref="F1873" r:id="rId1862" tooltip="Завантажити сертифікат" display="Завантажити сертифікат"/>
    <hyperlink ref="F1874" r:id="rId1863" tooltip="Завантажити сертифікат" display="Завантажити сертифікат"/>
    <hyperlink ref="F1875" r:id="rId1864" tooltip="Завантажити сертифікат" display="Завантажити сертифікат"/>
    <hyperlink ref="F1876" r:id="rId1865" tooltip="Завантажити сертифікат" display="Завантажити сертифікат"/>
    <hyperlink ref="F1877" r:id="rId1866" tooltip="Завантажити сертифікат" display="Завантажити сертифікат"/>
    <hyperlink ref="F1878" r:id="rId1867" tooltip="Завантажити сертифікат" display="Завантажити сертифікат"/>
    <hyperlink ref="F1879" r:id="rId1868" tooltip="Завантажити сертифікат" display="Завантажити сертифікат"/>
    <hyperlink ref="F1880" r:id="rId1869" tooltip="Завантажити сертифікат" display="Завантажити сертифікат"/>
    <hyperlink ref="F1881" r:id="rId1870" tooltip="Завантажити сертифікат" display="Завантажити сертифікат"/>
    <hyperlink ref="F1882" r:id="rId1871" tooltip="Завантажити сертифікат" display="Завантажити сертифікат"/>
    <hyperlink ref="F1883" r:id="rId1872" tooltip="Завантажити сертифікат" display="Завантажити сертифікат"/>
    <hyperlink ref="F1884" r:id="rId1873" tooltip="Завантажити сертифікат" display="Завантажити сертифікат"/>
    <hyperlink ref="F1885" r:id="rId1874" tooltip="Завантажити сертифікат" display="Завантажити сертифікат"/>
    <hyperlink ref="F1886" r:id="rId1875" tooltip="Завантажити сертифікат" display="Завантажити сертифікат"/>
    <hyperlink ref="F1887" r:id="rId1876" tooltip="Завантажити сертифікат" display="Завантажити сертифікат"/>
    <hyperlink ref="F1888" r:id="rId1877" tooltip="Завантажити сертифікат" display="Завантажити сертифікат"/>
    <hyperlink ref="F1889" r:id="rId1878" tooltip="Завантажити сертифікат" display="Завантажити сертифікат"/>
    <hyperlink ref="F1890" r:id="rId1879" tooltip="Завантажити сертифікат" display="Завантажити сертифікат"/>
    <hyperlink ref="F1891" r:id="rId1880" tooltip="Завантажити сертифікат" display="Завантажити сертифікат"/>
    <hyperlink ref="F1892" r:id="rId1881" tooltip="Завантажити сертифікат" display="Завантажити сертифікат"/>
    <hyperlink ref="F1893" r:id="rId1882" tooltip="Завантажити сертифікат" display="Завантажити сертифікат"/>
    <hyperlink ref="F1894" r:id="rId1883" tooltip="Завантажити сертифікат" display="Завантажити сертифікат"/>
    <hyperlink ref="F1895" r:id="rId1884" tooltip="Завантажити сертифікат" display="Завантажити сертифікат"/>
    <hyperlink ref="F1896" r:id="rId1885" tooltip="Завантажити сертифікат" display="Завантажити сертифікат"/>
    <hyperlink ref="F1897" r:id="rId1886" tooltip="Завантажити сертифікат" display="Завантажити сертифікат"/>
    <hyperlink ref="F1898" r:id="rId1887" tooltip="Завантажити сертифікат" display="Завантажити сертифікат"/>
    <hyperlink ref="F1899" r:id="rId1888" tooltip="Завантажити сертифікат" display="Завантажити сертифікат"/>
    <hyperlink ref="F1900" r:id="rId1889" tooltip="Завантажити сертифікат" display="Завантажити сертифікат"/>
    <hyperlink ref="F1901" r:id="rId1890" tooltip="Завантажити сертифікат" display="Завантажити сертифікат"/>
    <hyperlink ref="F1902" r:id="rId1891" tooltip="Завантажити сертифікат" display="Завантажити сертифікат"/>
    <hyperlink ref="F1903" r:id="rId1892" tooltip="Завантажити сертифікат" display="Завантажити сертифікат"/>
    <hyperlink ref="F1904" r:id="rId1893" tooltip="Завантажити сертифікат" display="Завантажити сертифікат"/>
    <hyperlink ref="F1905" r:id="rId1894" tooltip="Завантажити сертифікат" display="Завантажити сертифікат"/>
    <hyperlink ref="F1906" r:id="rId1895" tooltip="Завантажити сертифікат" display="Завантажити сертифікат"/>
    <hyperlink ref="F1907" r:id="rId1896" tooltip="Завантажити сертифікат" display="Завантажити сертифікат"/>
    <hyperlink ref="F1908" r:id="rId1897" tooltip="Завантажити сертифікат" display="Завантажити сертифікат"/>
    <hyperlink ref="F1909" r:id="rId1898" tooltip="Завантажити сертифікат" display="Завантажити сертифікат"/>
    <hyperlink ref="F1910" r:id="rId1899" tooltip="Завантажити сертифікат" display="Завантажити сертифікат"/>
    <hyperlink ref="F1911" r:id="rId1900" tooltip="Завантажити сертифікат" display="Завантажити сертифікат"/>
    <hyperlink ref="F1912" r:id="rId1901" tooltip="Завантажити сертифікат" display="Завантажити сертифікат"/>
    <hyperlink ref="F1913" r:id="rId1902" tooltip="Завантажити сертифікат" display="Завантажити сертифікат"/>
    <hyperlink ref="F1914" r:id="rId1903" tooltip="Завантажити сертифікат" display="Завантажити сертифікат"/>
    <hyperlink ref="F1915" r:id="rId1904" tooltip="Завантажити сертифікат" display="Завантажити сертифікат"/>
    <hyperlink ref="F1916" r:id="rId1905" tooltip="Завантажити сертифікат" display="Завантажити сертифікат"/>
    <hyperlink ref="F1917" r:id="rId1906" tooltip="Завантажити сертифікат" display="Завантажити сертифікат"/>
    <hyperlink ref="F1918" r:id="rId1907" tooltip="Завантажити сертифікат" display="Завантажити сертифікат"/>
    <hyperlink ref="F1919" r:id="rId1908" tooltip="Завантажити сертифікат" display="Завантажити сертифікат"/>
    <hyperlink ref="F1920" r:id="rId1909" tooltip="Завантажити сертифікат" display="Завантажити сертифікат"/>
    <hyperlink ref="F1921" r:id="rId1910" tooltip="Завантажити сертифікат" display="Завантажити сертифікат"/>
    <hyperlink ref="F1922" r:id="rId1911" tooltip="Завантажити сертифікат" display="Завантажити сертифікат"/>
    <hyperlink ref="F1923" r:id="rId1912" tooltip="Завантажити сертифікат" display="Завантажити сертифікат"/>
    <hyperlink ref="F1924" r:id="rId1913" tooltip="Завантажити сертифікат" display="Завантажити сертифікат"/>
    <hyperlink ref="F1925" r:id="rId1914" tooltip="Завантажити сертифікат" display="Завантажити сертифікат"/>
    <hyperlink ref="F1926" r:id="rId1915" tooltip="Завантажити сертифікат" display="Завантажити сертифікат"/>
    <hyperlink ref="F1927" r:id="rId1916" tooltip="Завантажити сертифікат" display="Завантажити сертифікат"/>
    <hyperlink ref="F1928" r:id="rId1917" tooltip="Завантажити сертифікат" display="Завантажити сертифікат"/>
    <hyperlink ref="F1929" r:id="rId1918" tooltip="Завантажити сертифікат" display="Завантажити сертифікат"/>
    <hyperlink ref="F1930" r:id="rId1919" tooltip="Завантажити сертифікат" display="Завантажити сертифікат"/>
    <hyperlink ref="F1931" r:id="rId1920" tooltip="Завантажити сертифікат" display="Завантажити сертифікат"/>
    <hyperlink ref="F1932" r:id="rId1921" tooltip="Завантажити сертифікат" display="Завантажити сертифікат"/>
    <hyperlink ref="F1933" r:id="rId1922" tooltip="Завантажити сертифікат" display="Завантажити сертифікат"/>
    <hyperlink ref="F1934" r:id="rId1923" tooltip="Завантажити сертифікат" display="Завантажити сертифікат"/>
    <hyperlink ref="F1935" r:id="rId1924" tooltip="Завантажити сертифікат" display="Завантажити сертифікат"/>
    <hyperlink ref="F1936" r:id="rId1925" tooltip="Завантажити сертифікат" display="Завантажити сертифікат"/>
    <hyperlink ref="F1937" r:id="rId1926" tooltip="Завантажити сертифікат" display="Завантажити сертифікат"/>
    <hyperlink ref="F1938" r:id="rId1927" tooltip="Завантажити сертифікат" display="Завантажити сертифікат"/>
    <hyperlink ref="F1939" r:id="rId1928" tooltip="Завантажити сертифікат" display="Завантажити сертифікат"/>
    <hyperlink ref="F1940" r:id="rId1929" tooltip="Завантажити сертифікат" display="Завантажити сертифікат"/>
    <hyperlink ref="F1941" r:id="rId1930" tooltip="Завантажити сертифікат" display="Завантажити сертифікат"/>
    <hyperlink ref="F1942" r:id="rId1931" tooltip="Завантажити сертифікат" display="Завантажити сертифікат"/>
    <hyperlink ref="F1943" r:id="rId1932" tooltip="Завантажити сертифікат" display="Завантажити сертифікат"/>
    <hyperlink ref="F1944" r:id="rId1933" tooltip="Завантажити сертифікат" display="Завантажити сертифікат"/>
    <hyperlink ref="F1945" r:id="rId1934" tooltip="Завантажити сертифікат" display="Завантажити сертифікат"/>
    <hyperlink ref="F1946" r:id="rId1935" tooltip="Завантажити сертифікат" display="Завантажити сертифікат"/>
    <hyperlink ref="F1947" r:id="rId1936" tooltip="Завантажити сертифікат" display="Завантажити сертифікат"/>
    <hyperlink ref="F1948" r:id="rId1937" tooltip="Завантажити сертифікат" display="Завантажити сертифікат"/>
    <hyperlink ref="F1949" r:id="rId1938" tooltip="Завантажити сертифікат" display="Завантажити сертифікат"/>
    <hyperlink ref="F1950" r:id="rId1939" tooltip="Завантажити сертифікат" display="Завантажити сертифікат"/>
    <hyperlink ref="F1951" r:id="rId1940" tooltip="Завантажити сертифікат" display="Завантажити сертифікат"/>
    <hyperlink ref="F1952" r:id="rId1941" tooltip="Завантажити сертифікат" display="Завантажити сертифікат"/>
    <hyperlink ref="F1953" r:id="rId1942" tooltip="Завантажити сертифікат" display="Завантажити сертифікат"/>
    <hyperlink ref="F1954" r:id="rId1943" tooltip="Завантажити сертифікат" display="Завантажити сертифікат"/>
    <hyperlink ref="F1955" r:id="rId1944" tooltip="Завантажити сертифікат" display="Завантажити сертифікат"/>
    <hyperlink ref="F1956" r:id="rId1945" tooltip="Завантажити сертифікат" display="Завантажити сертифікат"/>
    <hyperlink ref="F1957" r:id="rId1946" tooltip="Завантажити сертифікат" display="Завантажити сертифікат"/>
    <hyperlink ref="F1958" r:id="rId1947" tooltip="Завантажити сертифікат" display="Завантажити сертифікат"/>
    <hyperlink ref="F1959" r:id="rId1948" tooltip="Завантажити сертифікат" display="Завантажити сертифікат"/>
    <hyperlink ref="F1960" r:id="rId1949" tooltip="Завантажити сертифікат" display="Завантажити сертифікат"/>
    <hyperlink ref="F1961" r:id="rId1950" tooltip="Завантажити сертифікат" display="Завантажити сертифікат"/>
    <hyperlink ref="F1962" r:id="rId1951" tooltip="Завантажити сертифікат" display="Завантажити сертифікат"/>
    <hyperlink ref="F1963" r:id="rId1952" tooltip="Завантажити сертифікат" display="Завантажити сертифікат"/>
    <hyperlink ref="F1964" r:id="rId1953" tooltip="Завантажити сертифікат" display="Завантажити сертифікат"/>
    <hyperlink ref="F1965" r:id="rId1954" tooltip="Завантажити сертифікат" display="Завантажити сертифікат"/>
    <hyperlink ref="F1966" r:id="rId1955" tooltip="Завантажити сертифікат" display="Завантажити сертифікат"/>
    <hyperlink ref="F1967" r:id="rId1956" tooltip="Завантажити сертифікат" display="Завантажити сертифікат"/>
    <hyperlink ref="F1968" r:id="rId1957" tooltip="Завантажити сертифікат" display="Завантажити сертифікат"/>
    <hyperlink ref="F1969" r:id="rId1958" tooltip="Завантажити сертифікат" display="Завантажити сертифікат"/>
    <hyperlink ref="F1970" r:id="rId1959" tooltip="Завантажити сертифікат" display="Завантажити сертифікат"/>
    <hyperlink ref="F1971" r:id="rId1960" tooltip="Завантажити сертифікат" display="Завантажити сертифікат"/>
    <hyperlink ref="F1972" r:id="rId1961" tooltip="Завантажити сертифікат" display="Завантажити сертифікат"/>
    <hyperlink ref="F1973" r:id="rId1962" tooltip="Завантажити сертифікат" display="Завантажити сертифікат"/>
    <hyperlink ref="F1974" r:id="rId1963" tooltip="Завантажити сертифікат" display="Завантажити сертифікат"/>
    <hyperlink ref="F1975" r:id="rId1964" tooltip="Завантажити сертифікат" display="Завантажити сертифікат"/>
    <hyperlink ref="F1976" r:id="rId1965" tooltip="Завантажити сертифікат" display="Завантажити сертифікат"/>
    <hyperlink ref="F1977" r:id="rId1966" tooltip="Завантажити сертифікат" display="Завантажити сертифікат"/>
    <hyperlink ref="F1978" r:id="rId1967" tooltip="Завантажити сертифікат" display="Завантажити сертифікат"/>
    <hyperlink ref="F1979" r:id="rId1968" tooltip="Завантажити сертифікат" display="Завантажити сертифікат"/>
    <hyperlink ref="F1980" r:id="rId1969" tooltip="Завантажити сертифікат" display="Завантажити сертифікат"/>
    <hyperlink ref="F1981" r:id="rId1970" tooltip="Завантажити сертифікат" display="Завантажити сертифікат"/>
    <hyperlink ref="F1982" r:id="rId1971" tooltip="Завантажити сертифікат" display="Завантажити сертифікат"/>
    <hyperlink ref="F1983" r:id="rId1972" tooltip="Завантажити сертифікат" display="Завантажити сертифікат"/>
    <hyperlink ref="F1984" r:id="rId1973" tooltip="Завантажити сертифікат" display="Завантажити сертифікат"/>
    <hyperlink ref="F1985" r:id="rId1974" tooltip="Завантажити сертифікат" display="Завантажити сертифікат"/>
    <hyperlink ref="F1986" r:id="rId1975" tooltip="Завантажити сертифікат" display="Завантажити сертифікат"/>
    <hyperlink ref="F1987" r:id="rId1976" tooltip="Завантажити сертифікат" display="Завантажити сертифікат"/>
    <hyperlink ref="F1988" r:id="rId1977" tooltip="Завантажити сертифікат" display="Завантажити сертифікат"/>
    <hyperlink ref="F1989" r:id="rId1978" tooltip="Завантажити сертифікат" display="Завантажити сертифікат"/>
    <hyperlink ref="F1990" r:id="rId1979" tooltip="Завантажити сертифікат" display="Завантажити сертифікат"/>
    <hyperlink ref="F1991" r:id="rId1980" tooltip="Завантажити сертифікат" display="Завантажити сертифікат"/>
    <hyperlink ref="F1992" r:id="rId1981" tooltip="Завантажити сертифікат" display="Завантажити сертифікат"/>
    <hyperlink ref="F1993" r:id="rId1982" tooltip="Завантажити сертифікат" display="Завантажити сертифікат"/>
    <hyperlink ref="F1994" r:id="rId1983" tooltip="Завантажити сертифікат" display="Завантажити сертифікат"/>
    <hyperlink ref="F1995" r:id="rId1984" tooltip="Завантажити сертифікат" display="Завантажити сертифікат"/>
    <hyperlink ref="F1996" r:id="rId1985" tooltip="Завантажити сертифікат" display="Завантажити сертифікат"/>
    <hyperlink ref="F1997" r:id="rId1986" tooltip="Завантажити сертифікат" display="Завантажити сертифікат"/>
    <hyperlink ref="F1998" r:id="rId1987" tooltip="Завантажити сертифікат" display="Завантажити сертифікат"/>
    <hyperlink ref="F1999" r:id="rId1988" tooltip="Завантажити сертифікат" display="Завантажити сертифікат"/>
    <hyperlink ref="F2000" r:id="rId1989" tooltip="Завантажити сертифікат" display="Завантажити сертифікат"/>
    <hyperlink ref="F2001" r:id="rId1990" tooltip="Завантажити сертифікат" display="Завантажити сертифікат"/>
    <hyperlink ref="F2002" r:id="rId1991" tooltip="Завантажити сертифікат" display="Завантажити сертифікат"/>
    <hyperlink ref="F2003" r:id="rId1992" tooltip="Завантажити сертифікат" display="Завантажити сертифікат"/>
    <hyperlink ref="F2004" r:id="rId1993" tooltip="Завантажити сертифікат" display="Завантажити сертифікат"/>
    <hyperlink ref="F2005" r:id="rId1994" tooltip="Завантажити сертифікат" display="Завантажити сертифікат"/>
    <hyperlink ref="F2006" r:id="rId1995" tooltip="Завантажити сертифікат" display="Завантажити сертифікат"/>
    <hyperlink ref="F2007" r:id="rId1996" tooltip="Завантажити сертифікат" display="Завантажити сертифікат"/>
    <hyperlink ref="F2008" r:id="rId1997" tooltip="Завантажити сертифікат" display="Завантажити сертифікат"/>
    <hyperlink ref="F2009" r:id="rId1998" tooltip="Завантажити сертифікат" display="Завантажити сертифікат"/>
    <hyperlink ref="F2010" r:id="rId1999" tooltip="Завантажити сертифікат" display="Завантажити сертифікат"/>
    <hyperlink ref="F2011" r:id="rId2000" tooltip="Завантажити сертифікат" display="Завантажити сертифікат"/>
    <hyperlink ref="F2012" r:id="rId2001" tooltip="Завантажити сертифікат" display="Завантажити сертифікат"/>
    <hyperlink ref="F2013" r:id="rId2002" tooltip="Завантажити сертифікат" display="Завантажити сертифікат"/>
    <hyperlink ref="F2014" r:id="rId2003" tooltip="Завантажити сертифікат" display="Завантажити сертифікат"/>
    <hyperlink ref="F2015" r:id="rId2004" tooltip="Завантажити сертифікат" display="Завантажити сертифікат"/>
    <hyperlink ref="F2016" r:id="rId2005" tooltip="Завантажити сертифікат" display="Завантажити сертифікат"/>
    <hyperlink ref="F2017" r:id="rId2006" tooltip="Завантажити сертифікат" display="Завантажити сертифікат"/>
    <hyperlink ref="F2018" r:id="rId2007" tooltip="Завантажити сертифікат" display="Завантажити сертифікат"/>
    <hyperlink ref="F2019" r:id="rId2008" tooltip="Завантажити сертифікат" display="Завантажити сертифікат"/>
    <hyperlink ref="F2020" r:id="rId2009" tooltip="Завантажити сертифікат" display="Завантажити сертифікат"/>
    <hyperlink ref="F2021" r:id="rId2010" tooltip="Завантажити сертифікат" display="Завантажити сертифікат"/>
    <hyperlink ref="F2022" r:id="rId2011" tooltip="Завантажити сертифікат" display="Завантажити сертифікат"/>
    <hyperlink ref="F2023" r:id="rId2012" tooltip="Завантажити сертифікат" display="Завантажити сертифікат"/>
    <hyperlink ref="F2024" r:id="rId2013" tooltip="Завантажити сертифікат" display="Завантажити сертифікат"/>
    <hyperlink ref="F2025" r:id="rId2014" tooltip="Завантажити сертифікат" display="Завантажити сертифікат"/>
    <hyperlink ref="F2026" r:id="rId2015" tooltip="Завантажити сертифікат" display="Завантажити сертифікат"/>
    <hyperlink ref="F2027" r:id="rId2016" tooltip="Завантажити сертифікат" display="Завантажити сертифікат"/>
    <hyperlink ref="F2028" r:id="rId2017" tooltip="Завантажити сертифікат" display="Завантажити сертифікат"/>
    <hyperlink ref="F2029" r:id="rId2018" tooltip="Завантажити сертифікат" display="Завантажити сертифікат"/>
    <hyperlink ref="F2030" r:id="rId2019" tooltip="Завантажити сертифікат" display="Завантажити сертифікат"/>
    <hyperlink ref="F2031" r:id="rId2020" tooltip="Завантажити сертифікат" display="Завантажити сертифікат"/>
    <hyperlink ref="F2032" r:id="rId2021" tooltip="Завантажити сертифікат" display="Завантажити сертифікат"/>
    <hyperlink ref="F2033" r:id="rId2022" tooltip="Завантажити сертифікат" display="Завантажити сертифікат"/>
    <hyperlink ref="F2034" r:id="rId2023" tooltip="Завантажити сертифікат" display="Завантажити сертифікат"/>
    <hyperlink ref="F2035" r:id="rId2024" tooltip="Завантажити сертифікат" display="Завантажити сертифікат"/>
    <hyperlink ref="F2036" r:id="rId2025" tooltip="Завантажити сертифікат" display="Завантажити сертифікат"/>
    <hyperlink ref="F2037" r:id="rId2026" tooltip="Завантажити сертифікат" display="Завантажити сертифікат"/>
    <hyperlink ref="F2038" r:id="rId2027" tooltip="Завантажити сертифікат" display="Завантажити сертифікат"/>
    <hyperlink ref="F2039" r:id="rId2028" tooltip="Завантажити сертифікат" display="Завантажити сертифікат"/>
    <hyperlink ref="F2040" r:id="rId2029" tooltip="Завантажити сертифікат" display="Завантажити сертифікат"/>
    <hyperlink ref="F2041" r:id="rId2030" tooltip="Завантажити сертифікат" display="Завантажити сертифікат"/>
    <hyperlink ref="F2042" r:id="rId2031" tooltip="Завантажити сертифікат" display="Завантажити сертифікат"/>
    <hyperlink ref="F2043" r:id="rId2032" tooltip="Завантажити сертифікат" display="Завантажити сертифікат"/>
    <hyperlink ref="F2044" r:id="rId2033" tooltip="Завантажити сертифікат" display="Завантажити сертифікат"/>
    <hyperlink ref="F2045" r:id="rId2034" tooltip="Завантажити сертифікат" display="Завантажити сертифікат"/>
    <hyperlink ref="F2046" r:id="rId2035" tooltip="Завантажити сертифікат" display="Завантажити сертифікат"/>
    <hyperlink ref="F2047" r:id="rId2036" tooltip="Завантажити сертифікат" display="Завантажити сертифікат"/>
    <hyperlink ref="F2048" r:id="rId2037" tooltip="Завантажити сертифікат" display="Завантажити сертифікат"/>
    <hyperlink ref="F2049" r:id="rId2038" tooltip="Завантажити сертифікат" display="Завантажити сертифікат"/>
    <hyperlink ref="F2050" r:id="rId2039" tooltip="Завантажити сертифікат" display="Завантажити сертифікат"/>
    <hyperlink ref="F2051" r:id="rId2040" tooltip="Завантажити сертифікат" display="Завантажити сертифікат"/>
    <hyperlink ref="F2052" r:id="rId2041" tooltip="Завантажити сертифікат" display="Завантажити сертифікат"/>
    <hyperlink ref="F2053" r:id="rId2042" tooltip="Завантажити сертифікат" display="Завантажити сертифікат"/>
    <hyperlink ref="F2054" r:id="rId2043" tooltip="Завантажити сертифікат" display="Завантажити сертифікат"/>
    <hyperlink ref="F2055" r:id="rId2044" tooltip="Завантажити сертифікат" display="Завантажити сертифікат"/>
    <hyperlink ref="F2056" r:id="rId2045" tooltip="Завантажити сертифікат" display="Завантажити сертифікат"/>
    <hyperlink ref="F2057" r:id="rId2046" tooltip="Завантажити сертифікат" display="Завантажити сертифікат"/>
    <hyperlink ref="F2058" r:id="rId2047" tooltip="Завантажити сертифікат" display="Завантажити сертифікат"/>
    <hyperlink ref="F2059" r:id="rId2048" tooltip="Завантажити сертифікат" display="Завантажити сертифікат"/>
    <hyperlink ref="F2060" r:id="rId2049" tooltip="Завантажити сертифікат" display="Завантажити сертифікат"/>
    <hyperlink ref="F2061" r:id="rId2050" tooltip="Завантажити сертифікат" display="Завантажити сертифікат"/>
    <hyperlink ref="F2062" r:id="rId2051" tooltip="Завантажити сертифікат" display="Завантажити сертифікат"/>
    <hyperlink ref="F2063" r:id="rId2052" tooltip="Завантажити сертифікат" display="Завантажити сертифікат"/>
    <hyperlink ref="F2064" r:id="rId2053" tooltip="Завантажити сертифікат" display="Завантажити сертифікат"/>
    <hyperlink ref="F2065" r:id="rId2054" tooltip="Завантажити сертифікат" display="Завантажити сертифікат"/>
    <hyperlink ref="F2066" r:id="rId2055" tooltip="Завантажити сертифікат" display="Завантажити сертифікат"/>
    <hyperlink ref="F2067" r:id="rId2056" tooltip="Завантажити сертифікат" display="Завантажити сертифікат"/>
    <hyperlink ref="F2068" r:id="rId2057" tooltip="Завантажити сертифікат" display="Завантажити сертифікат"/>
    <hyperlink ref="F2069" r:id="rId2058" tooltip="Завантажити сертифікат" display="Завантажити сертифікат"/>
    <hyperlink ref="F2070" r:id="rId2059" tooltip="Завантажити сертифікат" display="Завантажити сертифікат"/>
    <hyperlink ref="F2071" r:id="rId2060" tooltip="Завантажити сертифікат" display="Завантажити сертифікат"/>
    <hyperlink ref="F2072" r:id="rId2061" tooltip="Завантажити сертифікат" display="Завантажити сертифікат"/>
    <hyperlink ref="F2073" r:id="rId2062" tooltip="Завантажити сертифікат" display="Завантажити сертифікат"/>
    <hyperlink ref="F2074" r:id="rId2063" tooltip="Завантажити сертифікат" display="Завантажити сертифікат"/>
    <hyperlink ref="F2075" r:id="rId2064" tooltip="Завантажити сертифікат" display="Завантажити сертифікат"/>
    <hyperlink ref="F2076" r:id="rId2065" tooltip="Завантажити сертифікат" display="Завантажити сертифікат"/>
    <hyperlink ref="F2077" r:id="rId2066" tooltip="Завантажити сертифікат" display="Завантажити сертифікат"/>
    <hyperlink ref="F2078" r:id="rId2067" tooltip="Завантажити сертифікат" display="Завантажити сертифікат"/>
    <hyperlink ref="F2079" r:id="rId2068" tooltip="Завантажити сертифікат" display="Завантажити сертифікат"/>
    <hyperlink ref="F2080" r:id="rId2069" tooltip="Завантажити сертифікат" display="Завантажити сертифікат"/>
    <hyperlink ref="F2081" r:id="rId2070" tooltip="Завантажити сертифікат" display="Завантажити сертифікат"/>
    <hyperlink ref="F2082" r:id="rId2071" tooltip="Завантажити сертифікат" display="Завантажити сертифікат"/>
    <hyperlink ref="F2083" r:id="rId2072" tooltip="Завантажити сертифікат" display="Завантажити сертифікат"/>
    <hyperlink ref="F2084" r:id="rId2073" tooltip="Завантажити сертифікат" display="Завантажити сертифікат"/>
    <hyperlink ref="F2085" r:id="rId2074" tooltip="Завантажити сертифікат" display="Завантажити сертифікат"/>
    <hyperlink ref="F2086" r:id="rId2075" tooltip="Завантажити сертифікат" display="Завантажити сертифікат"/>
    <hyperlink ref="F2087" r:id="rId2076" tooltip="Завантажити сертифікат" display="Завантажити сертифікат"/>
    <hyperlink ref="F2088" r:id="rId2077" tooltip="Завантажити сертифікат" display="Завантажити сертифікат"/>
    <hyperlink ref="F2089" r:id="rId2078" tooltip="Завантажити сертифікат" display="Завантажити сертифікат"/>
    <hyperlink ref="F2090" r:id="rId2079" tooltip="Завантажити сертифікат" display="Завантажити сертифікат"/>
    <hyperlink ref="F2091" r:id="rId2080" tooltip="Завантажити сертифікат" display="Завантажити сертифікат"/>
    <hyperlink ref="F2092" r:id="rId2081" tooltip="Завантажити сертифікат" display="Завантажити сертифікат"/>
    <hyperlink ref="F2093" r:id="rId2082" tooltip="Завантажити сертифікат" display="Завантажити сертифікат"/>
    <hyperlink ref="F2094" r:id="rId2083" tooltip="Завантажити сертифікат" display="Завантажити сертифікат"/>
    <hyperlink ref="F2095" r:id="rId2084" tooltip="Завантажити сертифікат" display="Завантажити сертифікат"/>
    <hyperlink ref="F2096" r:id="rId2085" tooltip="Завантажити сертифікат" display="Завантажити сертифікат"/>
    <hyperlink ref="F2097" r:id="rId2086" tooltip="Завантажити сертифікат" display="Завантажити сертифікат"/>
    <hyperlink ref="F2098" r:id="rId2087" tooltip="Завантажити сертифікат" display="Завантажити сертифікат"/>
    <hyperlink ref="F2099" r:id="rId2088" tooltip="Завантажити сертифікат" display="Завантажити сертифікат"/>
    <hyperlink ref="F2100" r:id="rId2089" tooltip="Завантажити сертифікат" display="Завантажити сертифікат"/>
    <hyperlink ref="F2101" r:id="rId2090" tooltip="Завантажити сертифікат" display="Завантажити сертифікат"/>
    <hyperlink ref="F2102" r:id="rId2091" tooltip="Завантажити сертифікат" display="Завантажити сертифікат"/>
    <hyperlink ref="F2103" r:id="rId2092" tooltip="Завантажити сертифікат" display="Завантажити сертифікат"/>
    <hyperlink ref="F2104" r:id="rId2093" tooltip="Завантажити сертифікат" display="Завантажити сертифікат"/>
    <hyperlink ref="F2105" r:id="rId2094" tooltip="Завантажити сертифікат" display="Завантажити сертифікат"/>
    <hyperlink ref="F2106" r:id="rId2095" tooltip="Завантажити сертифікат" display="Завантажити сертифікат"/>
    <hyperlink ref="F2107" r:id="rId2096" tooltip="Завантажити сертифікат" display="Завантажити сертифікат"/>
    <hyperlink ref="F2108" r:id="rId2097" tooltip="Завантажити сертифікат" display="Завантажити сертифікат"/>
    <hyperlink ref="F2109" r:id="rId2098" tooltip="Завантажити сертифікат" display="Завантажити сертифікат"/>
    <hyperlink ref="F2110" r:id="rId2099" tooltip="Завантажити сертифікат" display="Завантажити сертифікат"/>
    <hyperlink ref="F2111" r:id="rId2100" tooltip="Завантажити сертифікат" display="Завантажити сертифікат"/>
    <hyperlink ref="F2112" r:id="rId2101" tooltip="Завантажити сертифікат" display="Завантажити сертифікат"/>
    <hyperlink ref="F2113" r:id="rId2102" tooltip="Завантажити сертифікат" display="Завантажити сертифікат"/>
    <hyperlink ref="F2114" r:id="rId2103" tooltip="Завантажити сертифікат" display="Завантажити сертифікат"/>
    <hyperlink ref="F2115" r:id="rId2104" tooltip="Завантажити сертифікат" display="Завантажити сертифікат"/>
    <hyperlink ref="F2116" r:id="rId2105" tooltip="Завантажити сертифікат" display="Завантажити сертифікат"/>
    <hyperlink ref="F2117" r:id="rId2106" tooltip="Завантажити сертифікат" display="Завантажити сертифікат"/>
    <hyperlink ref="F2118" r:id="rId2107" tooltip="Завантажити сертифікат" display="Завантажити сертифікат"/>
    <hyperlink ref="F2119" r:id="rId2108" tooltip="Завантажити сертифікат" display="Завантажити сертифікат"/>
    <hyperlink ref="F2120" r:id="rId2109" tooltip="Завантажити сертифікат" display="Завантажити сертифікат"/>
    <hyperlink ref="F2121" r:id="rId2110" tooltip="Завантажити сертифікат" display="Завантажити сертифікат"/>
    <hyperlink ref="F2122" r:id="rId2111" tooltip="Завантажити сертифікат" display="Завантажити сертифікат"/>
    <hyperlink ref="F2123" r:id="rId2112" tooltip="Завантажити сертифікат" display="Завантажити сертифікат"/>
    <hyperlink ref="F2124" r:id="rId2113" tooltip="Завантажити сертифікат" display="Завантажити сертифікат"/>
    <hyperlink ref="F2125" r:id="rId2114" tooltip="Завантажити сертифікат" display="Завантажити сертифікат"/>
    <hyperlink ref="F2126" r:id="rId2115" tooltip="Завантажити сертифікат" display="Завантажити сертифікат"/>
    <hyperlink ref="F2127" r:id="rId2116" tooltip="Завантажити сертифікат" display="Завантажити сертифікат"/>
    <hyperlink ref="F2128" r:id="rId2117" tooltip="Завантажити сертифікат" display="Завантажити сертифікат"/>
    <hyperlink ref="F2129" r:id="rId2118" tooltip="Завантажити сертифікат" display="Завантажити сертифікат"/>
    <hyperlink ref="F2130" r:id="rId2119" tooltip="Завантажити сертифікат" display="Завантажити сертифікат"/>
    <hyperlink ref="F2131" r:id="rId2120" tooltip="Завантажити сертифікат" display="Завантажити сертифікат"/>
    <hyperlink ref="F2132" r:id="rId2121" tooltip="Завантажити сертифікат" display="Завантажити сертифікат"/>
    <hyperlink ref="F2133" r:id="rId2122" tooltip="Завантажити сертифікат" display="Завантажити сертифікат"/>
    <hyperlink ref="F2134" r:id="rId2123" tooltip="Завантажити сертифікат" display="Завантажити сертифікат"/>
    <hyperlink ref="F2135" r:id="rId2124" tooltip="Завантажити сертифікат" display="Завантажити сертифікат"/>
    <hyperlink ref="F2136" r:id="rId2125" tooltip="Завантажити сертифікат" display="Завантажити сертифікат"/>
    <hyperlink ref="F2137" r:id="rId2126" tooltip="Завантажити сертифікат" display="Завантажити сертифікат"/>
    <hyperlink ref="F2138" r:id="rId2127" tooltip="Завантажити сертифікат" display="Завантажити сертифікат"/>
    <hyperlink ref="F2139" r:id="rId2128" tooltip="Завантажити сертифікат" display="Завантажити сертифікат"/>
    <hyperlink ref="F2140" r:id="rId2129" tooltip="Завантажити сертифікат" display="Завантажити сертифікат"/>
    <hyperlink ref="F2141" r:id="rId2130" tooltip="Завантажити сертифікат" display="Завантажити сертифікат"/>
    <hyperlink ref="F2142" r:id="rId2131" tooltip="Завантажити сертифікат" display="Завантажити сертифікат"/>
    <hyperlink ref="F2143" r:id="rId2132" tooltip="Завантажити сертифікат" display="Завантажити сертифікат"/>
    <hyperlink ref="F2144" r:id="rId2133" tooltip="Завантажити сертифікат" display="Завантажити сертифікат"/>
    <hyperlink ref="F2145" r:id="rId2134" tooltip="Завантажити сертифікат" display="Завантажити сертифікат"/>
    <hyperlink ref="F2146" r:id="rId2135" tooltip="Завантажити сертифікат" display="Завантажити сертифікат"/>
    <hyperlink ref="F2147" r:id="rId2136" tooltip="Завантажити сертифікат" display="Завантажити сертифікат"/>
    <hyperlink ref="F2148" r:id="rId2137" tooltip="Завантажити сертифікат" display="Завантажити сертифікат"/>
    <hyperlink ref="F2149" r:id="rId2138" tooltip="Завантажити сертифікат" display="Завантажити сертифікат"/>
    <hyperlink ref="F2150" r:id="rId2139" tooltip="Завантажити сертифікат" display="Завантажити сертифікат"/>
    <hyperlink ref="F2151" r:id="rId2140" tooltip="Завантажити сертифікат" display="Завантажити сертифікат"/>
    <hyperlink ref="F2152" r:id="rId2141" tooltip="Завантажити сертифікат" display="Завантажити сертифікат"/>
    <hyperlink ref="F2153" r:id="rId2142" tooltip="Завантажити сертифікат" display="Завантажити сертифікат"/>
    <hyperlink ref="F2154" r:id="rId2143" tooltip="Завантажити сертифікат" display="Завантажити сертифікат"/>
    <hyperlink ref="F2155" r:id="rId2144" tooltip="Завантажити сертифікат" display="Завантажити сертифікат"/>
    <hyperlink ref="F2156" r:id="rId2145" tooltip="Завантажити сертифікат" display="Завантажити сертифікат"/>
    <hyperlink ref="F2157" r:id="rId2146" tooltip="Завантажити сертифікат" display="Завантажити сертифікат"/>
    <hyperlink ref="F2158" r:id="rId2147" tooltip="Завантажити сертифікат" display="Завантажити сертифікат"/>
    <hyperlink ref="F2159" r:id="rId2148" tooltip="Завантажити сертифікат" display="Завантажити сертифікат"/>
    <hyperlink ref="F2160" r:id="rId2149" tooltip="Завантажити сертифікат" display="Завантажити сертифікат"/>
    <hyperlink ref="F2161" r:id="rId2150" tooltip="Завантажити сертифікат" display="Завантажити сертифікат"/>
    <hyperlink ref="F2162" r:id="rId2151" tooltip="Завантажити сертифікат" display="Завантажити сертифікат"/>
    <hyperlink ref="F2163" r:id="rId2152" tooltip="Завантажити сертифікат" display="Завантажити сертифікат"/>
    <hyperlink ref="F2164" r:id="rId2153" tooltip="Завантажити сертифікат" display="Завантажити сертифікат"/>
    <hyperlink ref="F2165" r:id="rId2154" tooltip="Завантажити сертифікат" display="Завантажити сертифікат"/>
    <hyperlink ref="F2166" r:id="rId2155" tooltip="Завантажити сертифікат" display="Завантажити сертифікат"/>
    <hyperlink ref="F2167" r:id="rId2156" tooltip="Завантажити сертифікат" display="Завантажити сертифікат"/>
    <hyperlink ref="F2168" r:id="rId2157" tooltip="Завантажити сертифікат" display="Завантажити сертифікат"/>
    <hyperlink ref="F2169" r:id="rId2158" tooltip="Завантажити сертифікат" display="Завантажити сертифікат"/>
    <hyperlink ref="F2170" r:id="rId2159" tooltip="Завантажити сертифікат" display="Завантажити сертифікат"/>
    <hyperlink ref="F2171" r:id="rId2160" tooltip="Завантажити сертифікат" display="Завантажити сертифікат"/>
    <hyperlink ref="F2172" r:id="rId2161" tooltip="Завантажити сертифікат" display="Завантажити сертифікат"/>
    <hyperlink ref="F2173" r:id="rId2162" tooltip="Завантажити сертифікат" display="Завантажити сертифікат"/>
    <hyperlink ref="F2174" r:id="rId2163" tooltip="Завантажити сертифікат" display="Завантажити сертифікат"/>
    <hyperlink ref="F2175" r:id="rId2164" tooltip="Завантажити сертифікат" display="Завантажити сертифікат"/>
    <hyperlink ref="F2176" r:id="rId2165" tooltip="Завантажити сертифікат" display="Завантажити сертифікат"/>
    <hyperlink ref="F2177" r:id="rId2166" tooltip="Завантажити сертифікат" display="Завантажити сертифікат"/>
    <hyperlink ref="F2178" r:id="rId2167" tooltip="Завантажити сертифікат" display="Завантажити сертифікат"/>
    <hyperlink ref="F2179" r:id="rId2168" tooltip="Завантажити сертифікат" display="Завантажити сертифікат"/>
    <hyperlink ref="F2180" r:id="rId2169" tooltip="Завантажити сертифікат" display="Завантажити сертифікат"/>
    <hyperlink ref="F2181" r:id="rId2170" tooltip="Завантажити сертифікат" display="Завантажити сертифікат"/>
    <hyperlink ref="F2182" r:id="rId2171" tooltip="Завантажити сертифікат" display="Завантажити сертифікат"/>
    <hyperlink ref="F2183" r:id="rId2172" tooltip="Завантажити сертифікат" display="Завантажити сертифікат"/>
    <hyperlink ref="F2184" r:id="rId2173" tooltip="Завантажити сертифікат" display="Завантажити сертифікат"/>
    <hyperlink ref="F2185" r:id="rId2174" tooltip="Завантажити сертифікат" display="Завантажити сертифікат"/>
    <hyperlink ref="F2186" r:id="rId2175" tooltip="Завантажити сертифікат" display="Завантажити сертифікат"/>
    <hyperlink ref="F2187" r:id="rId2176" tooltip="Завантажити сертифікат" display="Завантажити сертифікат"/>
    <hyperlink ref="F2188" r:id="rId2177" tooltip="Завантажити сертифікат" display="Завантажити сертифікат"/>
    <hyperlink ref="F2189" r:id="rId2178" tooltip="Завантажити сертифікат" display="Завантажити сертифікат"/>
    <hyperlink ref="F2190" r:id="rId2179" tooltip="Завантажити сертифікат" display="Завантажити сертифікат"/>
    <hyperlink ref="F2191" r:id="rId2180" tooltip="Завантажити сертифікат" display="Завантажити сертифікат"/>
    <hyperlink ref="F2192" r:id="rId2181" tooltip="Завантажити сертифікат" display="Завантажити сертифікат"/>
    <hyperlink ref="F2193" r:id="rId2182" tooltip="Завантажити сертифікат" display="Завантажити сертифікат"/>
    <hyperlink ref="F2194" r:id="rId2183" tooltip="Завантажити сертифікат" display="Завантажити сертифікат"/>
    <hyperlink ref="F2195" r:id="rId2184" tooltip="Завантажити сертифікат" display="Завантажити сертифікат"/>
    <hyperlink ref="F2196" r:id="rId2185" tooltip="Завантажити сертифікат" display="Завантажити сертифікат"/>
    <hyperlink ref="F2197" r:id="rId2186" tooltip="Завантажити сертифікат" display="Завантажити сертифікат"/>
    <hyperlink ref="F2198" r:id="rId2187" tooltip="Завантажити сертифікат" display="Завантажити сертифікат"/>
    <hyperlink ref="F2199" r:id="rId2188" tooltip="Завантажити сертифікат" display="Завантажити сертифікат"/>
    <hyperlink ref="F2200" r:id="rId2189" tooltip="Завантажити сертифікат" display="Завантажити сертифікат"/>
    <hyperlink ref="F2201" r:id="rId2190" tooltip="Завантажити сертифікат" display="Завантажити сертифікат"/>
    <hyperlink ref="F2202" r:id="rId2191" tooltip="Завантажити сертифікат" display="Завантажити сертифікат"/>
    <hyperlink ref="F2203" r:id="rId2192" tooltip="Завантажити сертифікат" display="Завантажити сертифікат"/>
    <hyperlink ref="F2204" r:id="rId2193" tooltip="Завантажити сертифікат" display="Завантажити сертифікат"/>
    <hyperlink ref="F2205" r:id="rId2194" tooltip="Завантажити сертифікат" display="Завантажити сертифікат"/>
    <hyperlink ref="F2206" r:id="rId2195" tooltip="Завантажити сертифікат" display="Завантажити сертифікат"/>
    <hyperlink ref="F2207" r:id="rId2196" tooltip="Завантажити сертифікат" display="Завантажити сертифікат"/>
    <hyperlink ref="F2208" r:id="rId2197" tooltip="Завантажити сертифікат" display="Завантажити сертифікат"/>
    <hyperlink ref="F2209" r:id="rId2198" tooltip="Завантажити сертифікат" display="Завантажити сертифікат"/>
    <hyperlink ref="F2210" r:id="rId2199" tooltip="Завантажити сертифікат" display="Завантажити сертифікат"/>
    <hyperlink ref="F2211" r:id="rId2200" tooltip="Завантажити сертифікат" display="Завантажити сертифікат"/>
    <hyperlink ref="F2212" r:id="rId2201" tooltip="Завантажити сертифікат" display="Завантажити сертифікат"/>
    <hyperlink ref="F2213" r:id="rId2202" tooltip="Завантажити сертифікат" display="Завантажити сертифікат"/>
    <hyperlink ref="F2214" r:id="rId2203" tooltip="Завантажити сертифікат" display="Завантажити сертифікат"/>
    <hyperlink ref="F2215" r:id="rId2204" tooltip="Завантажити сертифікат" display="Завантажити сертифікат"/>
    <hyperlink ref="F2216" r:id="rId2205" tooltip="Завантажити сертифікат" display="Завантажити сертифікат"/>
    <hyperlink ref="F2217" r:id="rId2206" tooltip="Завантажити сертифікат" display="Завантажити сертифікат"/>
    <hyperlink ref="F2218" r:id="rId2207" tooltip="Завантажити сертифікат" display="Завантажити сертифікат"/>
    <hyperlink ref="F2219" r:id="rId2208" tooltip="Завантажити сертифікат" display="Завантажити сертифікат"/>
    <hyperlink ref="F2220" r:id="rId2209" tooltip="Завантажити сертифікат" display="Завантажити сертифікат"/>
    <hyperlink ref="F2221" r:id="rId2210" tooltip="Завантажити сертифікат" display="Завантажити сертифікат"/>
    <hyperlink ref="F2222" r:id="rId2211" tooltip="Завантажити сертифікат" display="Завантажити сертифікат"/>
    <hyperlink ref="F2223" r:id="rId2212" tooltip="Завантажити сертифікат" display="Завантажити сертифікат"/>
    <hyperlink ref="F2224" r:id="rId2213" tooltip="Завантажити сертифікат" display="Завантажити сертифікат"/>
    <hyperlink ref="F2225" r:id="rId2214" tooltip="Завантажити сертифікат" display="Завантажити сертифікат"/>
    <hyperlink ref="F2226" r:id="rId2215" tooltip="Завантажити сертифікат" display="Завантажити сертифікат"/>
    <hyperlink ref="F2227" r:id="rId2216" tooltip="Завантажити сертифікат" display="Завантажити сертифікат"/>
    <hyperlink ref="F2228" r:id="rId2217" tooltip="Завантажити сертифікат" display="Завантажити сертифікат"/>
    <hyperlink ref="F2229" r:id="rId2218" tooltip="Завантажити сертифікат" display="Завантажити сертифікат"/>
    <hyperlink ref="F2230" r:id="rId2219" tooltip="Завантажити сертифікат" display="Завантажити сертифікат"/>
    <hyperlink ref="F2231" r:id="rId2220" tooltip="Завантажити сертифікат" display="Завантажити сертифікат"/>
    <hyperlink ref="F2232" r:id="rId2221" tooltip="Завантажити сертифікат" display="Завантажити сертифікат"/>
    <hyperlink ref="F2233" r:id="rId2222" tooltip="Завантажити сертифікат" display="Завантажити сертифікат"/>
    <hyperlink ref="F2234" r:id="rId2223" tooltip="Завантажити сертифікат" display="Завантажити сертифікат"/>
    <hyperlink ref="F2235" r:id="rId2224" tooltip="Завантажити сертифікат" display="Завантажити сертифікат"/>
    <hyperlink ref="F2236" r:id="rId2225" tooltip="Завантажити сертифікат" display="Завантажити сертифікат"/>
    <hyperlink ref="F2237" r:id="rId2226" tooltip="Завантажити сертифікат" display="Завантажити сертифікат"/>
    <hyperlink ref="F2238" r:id="rId2227" tooltip="Завантажити сертифікат" display="Завантажити сертифікат"/>
    <hyperlink ref="F2239" r:id="rId2228" tooltip="Завантажити сертифікат" display="Завантажити сертифікат"/>
    <hyperlink ref="F2240" r:id="rId2229" tooltip="Завантажити сертифікат" display="Завантажити сертифікат"/>
    <hyperlink ref="F2241" r:id="rId2230" tooltip="Завантажити сертифікат" display="Завантажити сертифікат"/>
    <hyperlink ref="F2242" r:id="rId2231" tooltip="Завантажити сертифікат" display="Завантажити сертифікат"/>
    <hyperlink ref="F2243" r:id="rId2232" tooltip="Завантажити сертифікат" display="Завантажити сертифікат"/>
    <hyperlink ref="F2244" r:id="rId2233" tooltip="Завантажити сертифікат" display="Завантажити сертифікат"/>
    <hyperlink ref="F2245" r:id="rId2234" tooltip="Завантажити сертифікат" display="Завантажити сертифікат"/>
    <hyperlink ref="F2246" r:id="rId2235" tooltip="Завантажити сертифікат" display="Завантажити сертифікат"/>
    <hyperlink ref="F2247" r:id="rId2236" tooltip="Завантажити сертифікат" display="Завантажити сертифікат"/>
    <hyperlink ref="F2248" r:id="rId2237" tooltip="Завантажити сертифікат" display="Завантажити сертифікат"/>
    <hyperlink ref="F2249" r:id="rId2238" tooltip="Завантажити сертифікат" display="Завантажити сертифікат"/>
    <hyperlink ref="F2250" r:id="rId2239" tooltip="Завантажити сертифікат" display="Завантажити сертифікат"/>
    <hyperlink ref="F2251" r:id="rId2240" tooltip="Завантажити сертифікат" display="Завантажити сертифікат"/>
    <hyperlink ref="F2252" r:id="rId2241" tooltip="Завантажити сертифікат" display="Завантажити сертифікат"/>
    <hyperlink ref="F2253" r:id="rId2242" tooltip="Завантажити сертифікат" display="Завантажити сертифікат"/>
    <hyperlink ref="F2254" r:id="rId2243" tooltip="Завантажити сертифікат" display="Завантажити сертифікат"/>
    <hyperlink ref="F2255" r:id="rId2244" tooltip="Завантажити сертифікат" display="Завантажити сертифікат"/>
    <hyperlink ref="F2256" r:id="rId2245" tooltip="Завантажити сертифікат" display="Завантажити сертифікат"/>
    <hyperlink ref="F2257" r:id="rId2246" tooltip="Завантажити сертифікат" display="Завантажити сертифікат"/>
    <hyperlink ref="F2258" r:id="rId2247" tooltip="Завантажити сертифікат" display="Завантажити сертифікат"/>
    <hyperlink ref="F2259" r:id="rId2248" tooltip="Завантажити сертифікат" display="Завантажити сертифікат"/>
    <hyperlink ref="F2260" r:id="rId2249" tooltip="Завантажити сертифікат" display="Завантажити сертифікат"/>
    <hyperlink ref="F2261" r:id="rId2250" tooltip="Завантажити сертифікат" display="Завантажити сертифікат"/>
    <hyperlink ref="F2262" r:id="rId2251" tooltip="Завантажити сертифікат" display="Завантажити сертифікат"/>
    <hyperlink ref="F2263" r:id="rId2252" tooltip="Завантажити сертифікат" display="Завантажити сертифікат"/>
    <hyperlink ref="F2264" r:id="rId2253" tooltip="Завантажити сертифікат" display="Завантажити сертифікат"/>
    <hyperlink ref="F2265" r:id="rId2254" tooltip="Завантажити сертифікат" display="Завантажити сертифікат"/>
    <hyperlink ref="F2266" r:id="rId2255" tooltip="Завантажити сертифікат" display="Завантажити сертифікат"/>
    <hyperlink ref="F2267" r:id="rId2256" tooltip="Завантажити сертифікат" display="Завантажити сертифікат"/>
    <hyperlink ref="F2268" r:id="rId2257" tooltip="Завантажити сертифікат" display="Завантажити сертифікат"/>
    <hyperlink ref="F2269" r:id="rId2258" tooltip="Завантажити сертифікат" display="Завантажити сертифікат"/>
    <hyperlink ref="F2270" r:id="rId2259" tooltip="Завантажити сертифікат" display="Завантажити сертифікат"/>
    <hyperlink ref="F2271" r:id="rId2260" tooltip="Завантажити сертифікат" display="Завантажити сертифікат"/>
    <hyperlink ref="F2272" r:id="rId2261" tooltip="Завантажити сертифікат" display="Завантажити сертифікат"/>
    <hyperlink ref="F2273" r:id="rId2262" tooltip="Завантажити сертифікат" display="Завантажити сертифікат"/>
    <hyperlink ref="F2274" r:id="rId2263" tooltip="Завантажити сертифікат" display="Завантажити сертифікат"/>
    <hyperlink ref="F2275" r:id="rId2264" tooltip="Завантажити сертифікат" display="Завантажити сертифікат"/>
    <hyperlink ref="F2276" r:id="rId2265" tooltip="Завантажити сертифікат" display="Завантажити сертифікат"/>
    <hyperlink ref="F2277" r:id="rId2266" tooltip="Завантажити сертифікат" display="Завантажити сертифікат"/>
    <hyperlink ref="F2278" r:id="rId2267" tooltip="Завантажити сертифікат" display="Завантажити сертифікат"/>
    <hyperlink ref="F2279" r:id="rId2268" tooltip="Завантажити сертифікат" display="Завантажити сертифікат"/>
    <hyperlink ref="F2280" r:id="rId2269" tooltip="Завантажити сертифікат" display="Завантажити сертифікат"/>
    <hyperlink ref="F2281" r:id="rId2270" tooltip="Завантажити сертифікат" display="Завантажити сертифікат"/>
    <hyperlink ref="F2282" r:id="rId2271" tooltip="Завантажити сертифікат" display="Завантажити сертифікат"/>
    <hyperlink ref="F2283" r:id="rId2272" tooltip="Завантажити сертифікат" display="Завантажити сертифікат"/>
    <hyperlink ref="F2284" r:id="rId2273" tooltip="Завантажити сертифікат" display="Завантажити сертифікат"/>
    <hyperlink ref="F2285" r:id="rId2274" tooltip="Завантажити сертифікат" display="Завантажити сертифікат"/>
    <hyperlink ref="F2286" r:id="rId2275" tooltip="Завантажити сертифікат" display="Завантажити сертифікат"/>
    <hyperlink ref="F2287" r:id="rId2276" tooltip="Завантажити сертифікат" display="Завантажити сертифікат"/>
    <hyperlink ref="F2288" r:id="rId2277" tooltip="Завантажити сертифікат" display="Завантажити сертифікат"/>
    <hyperlink ref="F2289" r:id="rId2278" tooltip="Завантажити сертифікат" display="Завантажити сертифікат"/>
    <hyperlink ref="F2290" r:id="rId2279" tooltip="Завантажити сертифікат" display="Завантажити сертифікат"/>
    <hyperlink ref="F2291" r:id="rId2280" tooltip="Завантажити сертифікат" display="Завантажити сертифікат"/>
    <hyperlink ref="F2292" r:id="rId2281" tooltip="Завантажити сертифікат" display="Завантажити сертифікат"/>
    <hyperlink ref="F2293" r:id="rId2282" tooltip="Завантажити сертифікат" display="Завантажити сертифікат"/>
    <hyperlink ref="F2294" r:id="rId2283" tooltip="Завантажити сертифікат" display="Завантажити сертифікат"/>
    <hyperlink ref="F2295" r:id="rId2284" tooltip="Завантажити сертифікат" display="Завантажити сертифікат"/>
    <hyperlink ref="F2296" r:id="rId2285" tooltip="Завантажити сертифікат" display="Завантажити сертифікат"/>
    <hyperlink ref="F2297" r:id="rId2286" tooltip="Завантажити сертифікат" display="Завантажити сертифікат"/>
    <hyperlink ref="F2298" r:id="rId2287" tooltip="Завантажити сертифікат" display="Завантажити сертифікат"/>
    <hyperlink ref="F2299" r:id="rId2288" tooltip="Завантажити сертифікат" display="Завантажити сертифікат"/>
    <hyperlink ref="F2300" r:id="rId2289" tooltip="Завантажити сертифікат" display="Завантажити сертифікат"/>
    <hyperlink ref="F2301" r:id="rId2290" tooltip="Завантажити сертифікат" display="Завантажити сертифікат"/>
    <hyperlink ref="F2302" r:id="rId2291" tooltip="Завантажити сертифікат" display="Завантажити сертифікат"/>
    <hyperlink ref="F2303" r:id="rId2292" tooltip="Завантажити сертифікат" display="Завантажити сертифікат"/>
    <hyperlink ref="F2304" r:id="rId2293" tooltip="Завантажити сертифікат" display="Завантажити сертифікат"/>
    <hyperlink ref="F2305" r:id="rId2294" tooltip="Завантажити сертифікат" display="Завантажити сертифікат"/>
    <hyperlink ref="F2306" r:id="rId2295" tooltip="Завантажити сертифікат" display="Завантажити сертифікат"/>
    <hyperlink ref="F2307" r:id="rId2296" tooltip="Завантажити сертифікат" display="Завантажити сертифікат"/>
    <hyperlink ref="F2308" r:id="rId2297" tooltip="Завантажити сертифікат" display="Завантажити сертифікат"/>
    <hyperlink ref="F2309" r:id="rId2298" tooltip="Завантажити сертифікат" display="Завантажити сертифікат"/>
    <hyperlink ref="F2310" r:id="rId2299" tooltip="Завантажити сертифікат" display="Завантажити сертифікат"/>
    <hyperlink ref="F2311" r:id="rId2300" tooltip="Завантажити сертифікат" display="Завантажити сертифікат"/>
    <hyperlink ref="F2312" r:id="rId2301" tooltip="Завантажити сертифікат" display="Завантажити сертифікат"/>
    <hyperlink ref="F2313" r:id="rId2302" tooltip="Завантажити сертифікат" display="Завантажити сертифікат"/>
    <hyperlink ref="F2314" r:id="rId2303" tooltip="Завантажити сертифікат" display="Завантажити сертифікат"/>
    <hyperlink ref="F2315" r:id="rId2304" tooltip="Завантажити сертифікат" display="Завантажити сертифікат"/>
    <hyperlink ref="F2316" r:id="rId2305" tooltip="Завантажити сертифікат" display="Завантажити сертифікат"/>
    <hyperlink ref="F2317" r:id="rId2306" tooltip="Завантажити сертифікат" display="Завантажити сертифікат"/>
    <hyperlink ref="F2318" r:id="rId2307" tooltip="Завантажити сертифікат" display="Завантажити сертифікат"/>
    <hyperlink ref="F2319" r:id="rId2308" tooltip="Завантажити сертифікат" display="Завантажити сертифікат"/>
    <hyperlink ref="F2320" r:id="rId2309" tooltip="Завантажити сертифікат" display="Завантажити сертифікат"/>
    <hyperlink ref="F2321" r:id="rId2310" tooltip="Завантажити сертифікат" display="Завантажити сертифікат"/>
    <hyperlink ref="F2322" r:id="rId2311" tooltip="Завантажити сертифікат" display="Завантажити сертифікат"/>
    <hyperlink ref="F2323" r:id="rId2312" tooltip="Завантажити сертифікат" display="Завантажити сертифікат"/>
    <hyperlink ref="F2324" r:id="rId2313" tooltip="Завантажити сертифікат" display="Завантажити сертифікат"/>
    <hyperlink ref="F2325" r:id="rId2314" tooltip="Завантажити сертифікат" display="Завантажити сертифікат"/>
    <hyperlink ref="F2326" r:id="rId2315" tooltip="Завантажити сертифікат" display="Завантажити сертифікат"/>
    <hyperlink ref="F2327" r:id="rId2316" tooltip="Завантажити сертифікат" display="Завантажити сертифікат"/>
    <hyperlink ref="F2328" r:id="rId2317" tooltip="Завантажити сертифікат" display="Завантажити сертифікат"/>
    <hyperlink ref="F2329" r:id="rId2318" tooltip="Завантажити сертифікат" display="Завантажити сертифікат"/>
    <hyperlink ref="F2330" r:id="rId2319" tooltip="Завантажити сертифікат" display="Завантажити сертифікат"/>
    <hyperlink ref="F2331" r:id="rId2320" tooltip="Завантажити сертифікат" display="Завантажити сертифікат"/>
    <hyperlink ref="F2332" r:id="rId2321" tooltip="Завантажити сертифікат" display="Завантажити сертифікат"/>
    <hyperlink ref="F2333" r:id="rId2322" tooltip="Завантажити сертифікат" display="Завантажити сертифікат"/>
    <hyperlink ref="F2334" r:id="rId2323" tooltip="Завантажити сертифікат" display="Завантажити сертифікат"/>
    <hyperlink ref="F2335" r:id="rId2324" tooltip="Завантажити сертифікат" display="Завантажити сертифікат"/>
    <hyperlink ref="F2336" r:id="rId2325" tooltip="Завантажити сертифікат" display="Завантажити сертифікат"/>
    <hyperlink ref="F2337" r:id="rId2326" tooltip="Завантажити сертифікат" display="Завантажити сертифікат"/>
    <hyperlink ref="F2338" r:id="rId2327" tooltip="Завантажити сертифікат" display="Завантажити сертифікат"/>
    <hyperlink ref="F2339" r:id="rId2328" tooltip="Завантажити сертифікат" display="Завантажити сертифікат"/>
    <hyperlink ref="F2340" r:id="rId2329" tooltip="Завантажити сертифікат" display="Завантажити сертифікат"/>
    <hyperlink ref="F2341" r:id="rId2330" tooltip="Завантажити сертифікат" display="Завантажити сертифікат"/>
    <hyperlink ref="F2342" r:id="rId2331" tooltip="Завантажити сертифікат" display="Завантажити сертифікат"/>
    <hyperlink ref="F2343" r:id="rId2332" tooltip="Завантажити сертифікат" display="Завантажити сертифікат"/>
    <hyperlink ref="F2344" r:id="rId2333" tooltip="Завантажити сертифікат" display="Завантажити сертифікат"/>
    <hyperlink ref="F2345" r:id="rId2334" tooltip="Завантажити сертифікат" display="Завантажити сертифікат"/>
    <hyperlink ref="F2346" r:id="rId2335" tooltip="Завантажити сертифікат" display="Завантажити сертифікат"/>
    <hyperlink ref="F2347" r:id="rId2336" tooltip="Завантажити сертифікат" display="Завантажити сертифікат"/>
    <hyperlink ref="F2348" r:id="rId2337" tooltip="Завантажити сертифікат" display="Завантажити сертифікат"/>
    <hyperlink ref="F2349" r:id="rId2338" tooltip="Завантажити сертифікат" display="Завантажити сертифікат"/>
    <hyperlink ref="F2350" r:id="rId2339" tooltip="Завантажити сертифікат" display="Завантажити сертифікат"/>
    <hyperlink ref="F2351" r:id="rId2340" tooltip="Завантажити сертифікат" display="Завантажити сертифікат"/>
    <hyperlink ref="F2352" r:id="rId2341" tooltip="Завантажити сертифікат" display="Завантажити сертифікат"/>
    <hyperlink ref="F2353" r:id="rId2342" tooltip="Завантажити сертифікат" display="Завантажити сертифікат"/>
    <hyperlink ref="F2354" r:id="rId2343" tooltip="Завантажити сертифікат" display="Завантажити сертифікат"/>
    <hyperlink ref="F2355" r:id="rId2344" tooltip="Завантажити сертифікат" display="Завантажити сертифікат"/>
    <hyperlink ref="F2356" r:id="rId2345" tooltip="Завантажити сертифікат" display="Завантажити сертифікат"/>
    <hyperlink ref="F2357" r:id="rId2346" tooltip="Завантажити сертифікат" display="Завантажити сертифікат"/>
    <hyperlink ref="F2358" r:id="rId2347" tooltip="Завантажити сертифікат" display="Завантажити сертифікат"/>
    <hyperlink ref="F2359" r:id="rId2348" tooltip="Завантажити сертифікат" display="Завантажити сертифікат"/>
    <hyperlink ref="F2360" r:id="rId2349" tooltip="Завантажити сертифікат" display="Завантажити сертифікат"/>
    <hyperlink ref="F2361" r:id="rId2350" tooltip="Завантажити сертифікат" display="Завантажити сертифікат"/>
    <hyperlink ref="F2362" r:id="rId2351" tooltip="Завантажити сертифікат" display="Завантажити сертифікат"/>
    <hyperlink ref="F2363" r:id="rId2352" tooltip="Завантажити сертифікат" display="Завантажити сертифікат"/>
    <hyperlink ref="F2364" r:id="rId2353" tooltip="Завантажити сертифікат" display="Завантажити сертифікат"/>
    <hyperlink ref="F2365" r:id="rId2354" tooltip="Завантажити сертифікат" display="Завантажити сертифікат"/>
    <hyperlink ref="F2366" r:id="rId2355" tooltip="Завантажити сертифікат" display="Завантажити сертифікат"/>
    <hyperlink ref="F2367" r:id="rId2356" tooltip="Завантажити сертифікат" display="Завантажити сертифікат"/>
    <hyperlink ref="F2368" r:id="rId2357" tooltip="Завантажити сертифікат" display="Завантажити сертифікат"/>
    <hyperlink ref="F2369" r:id="rId2358" tooltip="Завантажити сертифікат" display="Завантажити сертифікат"/>
    <hyperlink ref="F2370" r:id="rId2359" tooltip="Завантажити сертифікат" display="Завантажити сертифікат"/>
    <hyperlink ref="F2371" r:id="rId2360" tooltip="Завантажити сертифікат" display="Завантажити сертифікат"/>
    <hyperlink ref="F2372" r:id="rId2361" tooltip="Завантажити сертифікат" display="Завантажити сертифікат"/>
    <hyperlink ref="F2373" r:id="rId2362" tooltip="Завантажити сертифікат" display="Завантажити сертифікат"/>
    <hyperlink ref="F2374" r:id="rId2363" tooltip="Завантажити сертифікат" display="Завантажити сертифікат"/>
    <hyperlink ref="F2375" r:id="rId2364" tooltip="Завантажити сертифікат" display="Завантажити сертифікат"/>
    <hyperlink ref="F2376" r:id="rId2365" tooltip="Завантажити сертифікат" display="Завантажити сертифікат"/>
    <hyperlink ref="F2377" r:id="rId2366" tooltip="Завантажити сертифікат" display="Завантажити сертифікат"/>
    <hyperlink ref="F2378" r:id="rId2367" tooltip="Завантажити сертифікат" display="Завантажити сертифікат"/>
    <hyperlink ref="F2379" r:id="rId2368" tooltip="Завантажити сертифікат" display="Завантажити сертифікат"/>
    <hyperlink ref="F2380" r:id="rId2369" tooltip="Завантажити сертифікат" display="Завантажити сертифікат"/>
    <hyperlink ref="F2381" r:id="rId2370" tooltip="Завантажити сертифікат" display="Завантажити сертифікат"/>
    <hyperlink ref="F2382" r:id="rId2371" tooltip="Завантажити сертифікат" display="Завантажити сертифікат"/>
    <hyperlink ref="F2383" r:id="rId2372" tooltip="Завантажити сертифікат" display="Завантажити сертифікат"/>
    <hyperlink ref="F2384" r:id="rId2373" tooltip="Завантажити сертифікат" display="Завантажити сертифікат"/>
    <hyperlink ref="F2385" r:id="rId2374" tooltip="Завантажити сертифікат" display="Завантажити сертифікат"/>
    <hyperlink ref="F2386" r:id="rId2375" tooltip="Завантажити сертифікат" display="Завантажити сертифікат"/>
    <hyperlink ref="F2387" r:id="rId2376" tooltip="Завантажити сертифікат" display="Завантажити сертифікат"/>
    <hyperlink ref="F2388" r:id="rId2377" tooltip="Завантажити сертифікат" display="Завантажити сертифікат"/>
    <hyperlink ref="F2389" r:id="rId2378" tooltip="Завантажити сертифікат" display="Завантажити сертифікат"/>
    <hyperlink ref="F2390" r:id="rId2379" tooltip="Завантажити сертифікат" display="Завантажити сертифікат"/>
    <hyperlink ref="F2391" r:id="rId2380" tooltip="Завантажити сертифікат" display="Завантажити сертифікат"/>
    <hyperlink ref="F2392" r:id="rId2381" tooltip="Завантажити сертифікат" display="Завантажити сертифікат"/>
    <hyperlink ref="F2393" r:id="rId2382" tooltip="Завантажити сертифікат" display="Завантажити сертифікат"/>
    <hyperlink ref="F2394" r:id="rId2383" tooltip="Завантажити сертифікат" display="Завантажити сертифікат"/>
    <hyperlink ref="F2395" r:id="rId2384" tooltip="Завантажити сертифікат" display="Завантажити сертифікат"/>
    <hyperlink ref="F2396" r:id="rId2385" tooltip="Завантажити сертифікат" display="Завантажити сертифікат"/>
    <hyperlink ref="F2397" r:id="rId2386" tooltip="Завантажити сертифікат" display="Завантажити сертифікат"/>
    <hyperlink ref="F2398" r:id="rId2387" tooltip="Завантажити сертифікат" display="Завантажити сертифікат"/>
    <hyperlink ref="F2399" r:id="rId2388" tooltip="Завантажити сертифікат" display="Завантажити сертифікат"/>
    <hyperlink ref="F2400" r:id="rId2389" tooltip="Завантажити сертифікат" display="Завантажити сертифікат"/>
    <hyperlink ref="F2401" r:id="rId2390" tooltip="Завантажити сертифікат" display="Завантажити сертифікат"/>
    <hyperlink ref="F2402" r:id="rId2391" tooltip="Завантажити сертифікат" display="Завантажити сертифікат"/>
    <hyperlink ref="F2403" r:id="rId2392" tooltip="Завантажити сертифікат" display="Завантажити сертифікат"/>
    <hyperlink ref="F2404" r:id="rId2393" tooltip="Завантажити сертифікат" display="Завантажити сертифікат"/>
    <hyperlink ref="F2405" r:id="rId2394" tooltip="Завантажити сертифікат" display="Завантажити сертифікат"/>
    <hyperlink ref="F2406" r:id="rId2395" tooltip="Завантажити сертифікат" display="Завантажити сертифікат"/>
    <hyperlink ref="F2407" r:id="rId2396" tooltip="Завантажити сертифікат" display="Завантажити сертифікат"/>
    <hyperlink ref="F2408" r:id="rId2397" tooltip="Завантажити сертифікат" display="Завантажити сертифікат"/>
    <hyperlink ref="F2409" r:id="rId2398" tooltip="Завантажити сертифікат" display="Завантажити сертифікат"/>
    <hyperlink ref="F2410" r:id="rId2399" tooltip="Завантажити сертифікат" display="Завантажити сертифікат"/>
    <hyperlink ref="F2411" r:id="rId2400" tooltip="Завантажити сертифікат" display="Завантажити сертифікат"/>
    <hyperlink ref="F2412" r:id="rId2401" tooltip="Завантажити сертифікат" display="Завантажити сертифікат"/>
    <hyperlink ref="F2413" r:id="rId2402" tooltip="Завантажити сертифікат" display="Завантажити сертифікат"/>
    <hyperlink ref="F2414" r:id="rId2403" tooltip="Завантажити сертифікат" display="Завантажити сертифікат"/>
    <hyperlink ref="F2415" r:id="rId2404" tooltip="Завантажити сертифікат" display="Завантажити сертифікат"/>
    <hyperlink ref="F2416" r:id="rId2405" tooltip="Завантажити сертифікат" display="Завантажити сертифікат"/>
    <hyperlink ref="F2417" r:id="rId2406" tooltip="Завантажити сертифікат" display="Завантажити сертифікат"/>
    <hyperlink ref="F2418" r:id="rId2407" tooltip="Завантажити сертифікат" display="Завантажити сертифікат"/>
    <hyperlink ref="F2419" r:id="rId2408" tooltip="Завантажити сертифікат" display="Завантажити сертифікат"/>
    <hyperlink ref="F2420" r:id="rId2409" tooltip="Завантажити сертифікат" display="Завантажити сертифікат"/>
    <hyperlink ref="F2421" r:id="rId2410" tooltip="Завантажити сертифікат" display="Завантажити сертифікат"/>
    <hyperlink ref="F2422" r:id="rId2411" tooltip="Завантажити сертифікат" display="Завантажити сертифікат"/>
    <hyperlink ref="F2423" r:id="rId2412" tooltip="Завантажити сертифікат" display="Завантажити сертифікат"/>
    <hyperlink ref="F2424" r:id="rId2413" tooltip="Завантажити сертифікат" display="Завантажити сертифікат"/>
    <hyperlink ref="F2425" r:id="rId2414" tooltip="Завантажити сертифікат" display="Завантажити сертифікат"/>
    <hyperlink ref="F2426" r:id="rId2415" tooltip="Завантажити сертифікат" display="Завантажити сертифікат"/>
    <hyperlink ref="F2427" r:id="rId2416" tooltip="Завантажити сертифікат" display="Завантажити сертифікат"/>
    <hyperlink ref="F2428" r:id="rId2417" tooltip="Завантажити сертифікат" display="Завантажити сертифікат"/>
    <hyperlink ref="F2429" r:id="rId2418" tooltip="Завантажити сертифікат" display="Завантажити сертифікат"/>
    <hyperlink ref="F2430" r:id="rId2419" tooltip="Завантажити сертифікат" display="Завантажити сертифікат"/>
    <hyperlink ref="F2431" r:id="rId2420" tooltip="Завантажити сертифікат" display="Завантажити сертифікат"/>
    <hyperlink ref="F2432" r:id="rId2421" tooltip="Завантажити сертифікат" display="Завантажити сертифікат"/>
    <hyperlink ref="F2433" r:id="rId2422" tooltip="Завантажити сертифікат" display="Завантажити сертифікат"/>
    <hyperlink ref="F2434" r:id="rId2423" tooltip="Завантажити сертифікат" display="Завантажити сертифікат"/>
    <hyperlink ref="F2435" r:id="rId2424" tooltip="Завантажити сертифікат" display="Завантажити сертифікат"/>
    <hyperlink ref="F2436" r:id="rId2425" tooltip="Завантажити сертифікат" display="Завантажити сертифікат"/>
    <hyperlink ref="F2437" r:id="rId2426" tooltip="Завантажити сертифікат" display="Завантажити сертифікат"/>
    <hyperlink ref="F2438" r:id="rId2427" tooltip="Завантажити сертифікат" display="Завантажити сертифікат"/>
    <hyperlink ref="F2439" r:id="rId2428" tooltip="Завантажити сертифікат" display="Завантажити сертифікат"/>
    <hyperlink ref="F2440" r:id="rId2429" tooltip="Завантажити сертифікат" display="Завантажити сертифікат"/>
    <hyperlink ref="F2441" r:id="rId2430" tooltip="Завантажити сертифікат" display="Завантажити сертифікат"/>
    <hyperlink ref="F2442" r:id="rId2431" tooltip="Завантажити сертифікат" display="Завантажити сертифікат"/>
    <hyperlink ref="F2443" r:id="rId2432" tooltip="Завантажити сертифікат" display="Завантажити сертифікат"/>
    <hyperlink ref="F2444" r:id="rId2433" tooltip="Завантажити сертифікат" display="Завантажити сертифікат"/>
    <hyperlink ref="F2445" r:id="rId2434" tooltip="Завантажити сертифікат" display="Завантажити сертифікат"/>
    <hyperlink ref="F2446" r:id="rId2435" tooltip="Завантажити сертифікат" display="Завантажити сертифікат"/>
    <hyperlink ref="F2447" r:id="rId2436" tooltip="Завантажити сертифікат" display="Завантажити сертифікат"/>
    <hyperlink ref="F2448" r:id="rId2437" tooltip="Завантажити сертифікат" display="Завантажити сертифікат"/>
    <hyperlink ref="F2449" r:id="rId2438" tooltip="Завантажити сертифікат" display="Завантажити сертифікат"/>
    <hyperlink ref="F2450" r:id="rId2439" tooltip="Завантажити сертифікат" display="Завантажити сертифікат"/>
    <hyperlink ref="F2451" r:id="rId2440" tooltip="Завантажити сертифікат" display="Завантажити сертифікат"/>
    <hyperlink ref="F2452" r:id="rId2441" tooltip="Завантажити сертифікат" display="Завантажити сертифікат"/>
    <hyperlink ref="F2453" r:id="rId2442" tooltip="Завантажити сертифікат" display="Завантажити сертифікат"/>
    <hyperlink ref="F2454" r:id="rId2443" tooltip="Завантажити сертифікат" display="Завантажити сертифікат"/>
    <hyperlink ref="F2455" r:id="rId2444" tooltip="Завантажити сертифікат" display="Завантажити сертифікат"/>
    <hyperlink ref="F2456" r:id="rId2445" tooltip="Завантажити сертифікат" display="Завантажити сертифікат"/>
    <hyperlink ref="F2457" r:id="rId2446" tooltip="Завантажити сертифікат" display="Завантажити сертифікат"/>
    <hyperlink ref="F2458" r:id="rId2447" tooltip="Завантажити сертифікат" display="Завантажити сертифікат"/>
    <hyperlink ref="F2459" r:id="rId2448" tooltip="Завантажити сертифікат" display="Завантажити сертифікат"/>
    <hyperlink ref="F2460" r:id="rId2449" tooltip="Завантажити сертифікат" display="Завантажити сертифікат"/>
    <hyperlink ref="F2461" r:id="rId2450" tooltip="Завантажити сертифікат" display="Завантажити сертифікат"/>
    <hyperlink ref="F2462" r:id="rId2451" tooltip="Завантажити сертифікат" display="Завантажити сертифікат"/>
    <hyperlink ref="F2463" r:id="rId2452" tooltip="Завантажити сертифікат" display="Завантажити сертифікат"/>
    <hyperlink ref="F2464" r:id="rId2453" tooltip="Завантажити сертифікат" display="Завантажити сертифікат"/>
    <hyperlink ref="F2465" r:id="rId2454" tooltip="Завантажити сертифікат" display="Завантажити сертифікат"/>
    <hyperlink ref="F2466" r:id="rId2455" tooltip="Завантажити сертифікат" display="Завантажити сертифікат"/>
    <hyperlink ref="F2467" r:id="rId2456" tooltip="Завантажити сертифікат" display="Завантажити сертифікат"/>
    <hyperlink ref="F2468" r:id="rId2457" tooltip="Завантажити сертифікат" display="Завантажити сертифікат"/>
    <hyperlink ref="F2469" r:id="rId2458" tooltip="Завантажити сертифікат" display="Завантажити сертифікат"/>
    <hyperlink ref="F2470" r:id="rId2459" tooltip="Завантажити сертифікат" display="Завантажити сертифікат"/>
    <hyperlink ref="F2471" r:id="rId2460" tooltip="Завантажити сертифікат" display="Завантажити сертифікат"/>
    <hyperlink ref="F2472" r:id="rId2461" tooltip="Завантажити сертифікат" display="Завантажити сертифікат"/>
    <hyperlink ref="F2473" r:id="rId2462" tooltip="Завантажити сертифікат" display="Завантажити сертифікат"/>
    <hyperlink ref="F2474" r:id="rId2463" tooltip="Завантажити сертифікат" display="Завантажити сертифікат"/>
    <hyperlink ref="F2475" r:id="rId2464" tooltip="Завантажити сертифікат" display="Завантажити сертифікат"/>
    <hyperlink ref="F2476" r:id="rId2465" tooltip="Завантажити сертифікат" display="Завантажити сертифікат"/>
    <hyperlink ref="F2477" r:id="rId2466" tooltip="Завантажити сертифікат" display="Завантажити сертифікат"/>
    <hyperlink ref="F2478" r:id="rId2467" tooltip="Завантажити сертифікат" display="Завантажити сертифікат"/>
    <hyperlink ref="F2479" r:id="rId2468" tooltip="Завантажити сертифікат" display="Завантажити сертифікат"/>
    <hyperlink ref="F2480" r:id="rId2469" tooltip="Завантажити сертифікат" display="Завантажити сертифікат"/>
    <hyperlink ref="F2481" r:id="rId2470" tooltip="Завантажити сертифікат" display="Завантажити сертифікат"/>
    <hyperlink ref="F2482" r:id="rId2471" tooltip="Завантажити сертифікат" display="Завантажити сертифікат"/>
    <hyperlink ref="F2483" r:id="rId2472" tooltip="Завантажити сертифікат" display="Завантажити сертифікат"/>
    <hyperlink ref="F2484" r:id="rId2473" tooltip="Завантажити сертифікат" display="Завантажити сертифікат"/>
    <hyperlink ref="F2485" r:id="rId2474" tooltip="Завантажити сертифікат" display="Завантажити сертифікат"/>
    <hyperlink ref="F2486" r:id="rId2475" tooltip="Завантажити сертифікат" display="Завантажити сертифікат"/>
    <hyperlink ref="F2487" r:id="rId2476" tooltip="Завантажити сертифікат" display="Завантажити сертифікат"/>
    <hyperlink ref="F2488" r:id="rId2477" tooltip="Завантажити сертифікат" display="Завантажити сертифікат"/>
    <hyperlink ref="F2489" r:id="rId2478" tooltip="Завантажити сертифікат" display="Завантажити сертифікат"/>
    <hyperlink ref="F2490" r:id="rId2479" tooltip="Завантажити сертифікат" display="Завантажити сертифікат"/>
    <hyperlink ref="F2491" r:id="rId2480" tooltip="Завантажити сертифікат" display="Завантажити сертифікат"/>
    <hyperlink ref="F2492" r:id="rId2481" tooltip="Завантажити сертифікат" display="Завантажити сертифікат"/>
    <hyperlink ref="F2493" r:id="rId2482" tooltip="Завантажити сертифікат" display="Завантажити сертифікат"/>
    <hyperlink ref="F2494" r:id="rId2483" tooltip="Завантажити сертифікат" display="Завантажити сертифікат"/>
    <hyperlink ref="F2495" r:id="rId2484" tooltip="Завантажити сертифікат" display="Завантажити сертифікат"/>
    <hyperlink ref="F2496" r:id="rId2485" tooltip="Завантажити сертифікат" display="Завантажити сертифікат"/>
    <hyperlink ref="F2497" r:id="rId2486" tooltip="Завантажити сертифікат" display="Завантажити сертифікат"/>
    <hyperlink ref="F2498" r:id="rId2487" tooltip="Завантажити сертифікат" display="Завантажити сертифікат"/>
    <hyperlink ref="F2499" r:id="rId2488" tooltip="Завантажити сертифікат" display="Завантажити сертифікат"/>
    <hyperlink ref="F2500" r:id="rId2489" tooltip="Завантажити сертифікат" display="Завантажити сертифікат"/>
    <hyperlink ref="F2501" r:id="rId2490" tooltip="Завантажити сертифікат" display="Завантажити сертифікат"/>
    <hyperlink ref="F2502" r:id="rId2491" tooltip="Завантажити сертифікат" display="Завантажити сертифікат"/>
    <hyperlink ref="F2503" r:id="rId2492" tooltip="Завантажити сертифікат" display="Завантажити сертифікат"/>
    <hyperlink ref="F2504" r:id="rId2493" tooltip="Завантажити сертифікат" display="Завантажити сертифікат"/>
    <hyperlink ref="F2505" r:id="rId2494" tooltip="Завантажити сертифікат" display="Завантажити сертифікат"/>
    <hyperlink ref="F2506" r:id="rId2495" tooltip="Завантажити сертифікат" display="Завантажити сертифікат"/>
    <hyperlink ref="F2507" r:id="rId2496" tooltip="Завантажити сертифікат" display="Завантажити сертифікат"/>
    <hyperlink ref="F2508" r:id="rId2497" tooltip="Завантажити сертифікат" display="Завантажити сертифікат"/>
    <hyperlink ref="F2509" r:id="rId2498" tooltip="Завантажити сертифікат" display="Завантажити сертифікат"/>
    <hyperlink ref="F2510" r:id="rId2499" tooltip="Завантажити сертифікат" display="Завантажити сертифікат"/>
    <hyperlink ref="F2511" r:id="rId2500" tooltip="Завантажити сертифікат" display="Завантажити сертифікат"/>
    <hyperlink ref="F2512" r:id="rId2501" tooltip="Завантажити сертифікат" display="Завантажити сертифікат"/>
    <hyperlink ref="F2513" r:id="rId2502" tooltip="Завантажити сертифікат" display="Завантажити сертифікат"/>
    <hyperlink ref="F2514" r:id="rId2503" tooltip="Завантажити сертифікат" display="Завантажити сертифікат"/>
    <hyperlink ref="F2515" r:id="rId2504" tooltip="Завантажити сертифікат" display="Завантажити сертифікат"/>
    <hyperlink ref="F2516" r:id="rId2505" tooltip="Завантажити сертифікат" display="Завантажити сертифікат"/>
    <hyperlink ref="F2517" r:id="rId2506" tooltip="Завантажити сертифікат" display="Завантажити сертифікат"/>
    <hyperlink ref="F2518" r:id="rId2507" tooltip="Завантажити сертифікат" display="Завантажити сертифікат"/>
    <hyperlink ref="F2519" r:id="rId2508" tooltip="Завантажити сертифікат" display="Завантажити сертифікат"/>
    <hyperlink ref="F2520" r:id="rId2509" tooltip="Завантажити сертифікат" display="Завантажити сертифікат"/>
    <hyperlink ref="F2521" r:id="rId2510" tooltip="Завантажити сертифікат" display="Завантажити сертифікат"/>
    <hyperlink ref="F2522" r:id="rId2511" tooltip="Завантажити сертифікат" display="Завантажити сертифікат"/>
    <hyperlink ref="F2523" r:id="rId2512" tooltip="Завантажити сертифікат" display="Завантажити сертифікат"/>
    <hyperlink ref="F2524" r:id="rId2513" tooltip="Завантажити сертифікат" display="Завантажити сертифікат"/>
    <hyperlink ref="F2525" r:id="rId2514" tooltip="Завантажити сертифікат" display="Завантажити сертифікат"/>
    <hyperlink ref="F2526" r:id="rId2515" tooltip="Завантажити сертифікат" display="Завантажити сертифікат"/>
    <hyperlink ref="F2527" r:id="rId2516" tooltip="Завантажити сертифікат" display="Завантажити сертифікат"/>
    <hyperlink ref="F2528" r:id="rId2517" tooltip="Завантажити сертифікат" display="Завантажити сертифікат"/>
    <hyperlink ref="F2529" r:id="rId2518" tooltip="Завантажити сертифікат" display="Завантажити сертифікат"/>
    <hyperlink ref="F2530" r:id="rId2519" tooltip="Завантажити сертифікат" display="Завантажити сертифікат"/>
    <hyperlink ref="F2531" r:id="rId2520" tooltip="Завантажити сертифікат" display="Завантажити сертифікат"/>
    <hyperlink ref="F2532" r:id="rId2521" tooltip="Завантажити сертифікат" display="Завантажити сертифікат"/>
    <hyperlink ref="F2533" r:id="rId2522" tooltip="Завантажити сертифікат" display="Завантажити сертифікат"/>
    <hyperlink ref="F2534" r:id="rId2523" tooltip="Завантажити сертифікат" display="Завантажити сертифікат"/>
    <hyperlink ref="F2535" r:id="rId2524" tooltip="Завантажити сертифікат" display="Завантажити сертифікат"/>
    <hyperlink ref="F2536" r:id="rId2525" tooltip="Завантажити сертифікат" display="Завантажити сертифікат"/>
    <hyperlink ref="F2537" r:id="rId2526" tooltip="Завантажити сертифікат" display="Завантажити сертифікат"/>
    <hyperlink ref="F2538" r:id="rId2527" tooltip="Завантажити сертифікат" display="Завантажити сертифікат"/>
    <hyperlink ref="F2539" r:id="rId2528" tooltip="Завантажити сертифікат" display="Завантажити сертифікат"/>
    <hyperlink ref="F2540" r:id="rId2529" tooltip="Завантажити сертифікат" display="Завантажити сертифікат"/>
    <hyperlink ref="F2541" r:id="rId2530" tooltip="Завантажити сертифікат" display="Завантажити сертифікат"/>
    <hyperlink ref="F2542" r:id="rId2531" tooltip="Завантажити сертифікат" display="Завантажити сертифікат"/>
    <hyperlink ref="F2543" r:id="rId2532" tooltip="Завантажити сертифікат" display="Завантажити сертифікат"/>
    <hyperlink ref="F2544" r:id="rId2533" tooltip="Завантажити сертифікат" display="Завантажити сертифікат"/>
    <hyperlink ref="F2545" r:id="rId2534" tooltip="Завантажити сертифікат" display="Завантажити сертифікат"/>
    <hyperlink ref="F2546" r:id="rId2535" tooltip="Завантажити сертифікат" display="Завантажити сертифікат"/>
    <hyperlink ref="F2547" r:id="rId2536" tooltip="Завантажити сертифікат" display="Завантажити сертифікат"/>
    <hyperlink ref="F2548" r:id="rId2537" tooltip="Завантажити сертифікат" display="Завантажити сертифікат"/>
    <hyperlink ref="F2549" r:id="rId2538" tooltip="Завантажити сертифікат" display="Завантажити сертифікат"/>
    <hyperlink ref="F2550" r:id="rId2539" tooltip="Завантажити сертифікат" display="Завантажити сертифікат"/>
    <hyperlink ref="F2551" r:id="rId2540" tooltip="Завантажити сертифікат" display="Завантажити сертифікат"/>
    <hyperlink ref="F2552" r:id="rId2541" tooltip="Завантажити сертифікат" display="Завантажити сертифікат"/>
    <hyperlink ref="F2553" r:id="rId2542" tooltip="Завантажити сертифікат" display="Завантажити сертифікат"/>
    <hyperlink ref="F2554" r:id="rId2543" tooltip="Завантажити сертифікат" display="Завантажити сертифікат"/>
    <hyperlink ref="F2555" r:id="rId2544" tooltip="Завантажити сертифікат" display="Завантажити сертифікат"/>
    <hyperlink ref="F2556" r:id="rId2545" tooltip="Завантажити сертифікат" display="Завантажити сертифікат"/>
    <hyperlink ref="F2557" r:id="rId2546" tooltip="Завантажити сертифікат" display="Завантажити сертифікат"/>
    <hyperlink ref="F2558" r:id="rId2547" tooltip="Завантажити сертифікат" display="Завантажити сертифікат"/>
    <hyperlink ref="F2559" r:id="rId2548" tooltip="Завантажити сертифікат" display="Завантажити сертифікат"/>
    <hyperlink ref="F2560" r:id="rId2549" tooltip="Завантажити сертифікат" display="Завантажити сертифікат"/>
    <hyperlink ref="F2561" r:id="rId2550" tooltip="Завантажити сертифікат" display="Завантажити сертифікат"/>
    <hyperlink ref="F2562" r:id="rId2551" tooltip="Завантажити сертифікат" display="Завантажити сертифікат"/>
    <hyperlink ref="F2563" r:id="rId2552" tooltip="Завантажити сертифікат" display="Завантажити сертифікат"/>
    <hyperlink ref="F2564" r:id="rId2553" tooltip="Завантажити сертифікат" display="Завантажити сертифікат"/>
    <hyperlink ref="F2565" r:id="rId2554" tooltip="Завантажити сертифікат" display="Завантажити сертифікат"/>
    <hyperlink ref="F2566" r:id="rId2555" tooltip="Завантажити сертифікат" display="Завантажити сертифікат"/>
    <hyperlink ref="F2567" r:id="rId2556" tooltip="Завантажити сертифікат" display="Завантажити сертифікат"/>
    <hyperlink ref="F2568" r:id="rId2557" tooltip="Завантажити сертифікат" display="Завантажити сертифікат"/>
    <hyperlink ref="F2569" r:id="rId2558" tooltip="Завантажити сертифікат" display="Завантажити сертифікат"/>
    <hyperlink ref="F2570" r:id="rId2559" tooltip="Завантажити сертифікат" display="Завантажити сертифікат"/>
    <hyperlink ref="F2571" r:id="rId2560" tooltip="Завантажити сертифікат" display="Завантажити сертифікат"/>
    <hyperlink ref="F2572" r:id="rId2561" tooltip="Завантажити сертифікат" display="Завантажити сертифікат"/>
    <hyperlink ref="F2573" r:id="rId2562" tooltip="Завантажити сертифікат" display="Завантажити сертифікат"/>
    <hyperlink ref="F2574" r:id="rId2563" tooltip="Завантажити сертифікат" display="Завантажити сертифікат"/>
    <hyperlink ref="F2575" r:id="rId2564" tooltip="Завантажити сертифікат" display="Завантажити сертифікат"/>
    <hyperlink ref="F2576" r:id="rId2565" tooltip="Завантажити сертифікат" display="Завантажити сертифікат"/>
    <hyperlink ref="F2577" r:id="rId2566" tooltip="Завантажити сертифікат" display="Завантажити сертифікат"/>
    <hyperlink ref="F2578" r:id="rId2567" tooltip="Завантажити сертифікат" display="Завантажити сертифікат"/>
    <hyperlink ref="F2579" r:id="rId2568" tooltip="Завантажити сертифікат" display="Завантажити сертифікат"/>
    <hyperlink ref="F2580" r:id="rId2569" tooltip="Завантажити сертифікат" display="Завантажити сертифікат"/>
    <hyperlink ref="F2581" r:id="rId2570" tooltip="Завантажити сертифікат" display="Завантажити сертифікат"/>
    <hyperlink ref="F2582" r:id="rId2571" tooltip="Завантажити сертифікат" display="Завантажити сертифікат"/>
    <hyperlink ref="F2583" r:id="rId2572" tooltip="Завантажити сертифікат" display="Завантажити сертифікат"/>
    <hyperlink ref="F2584" r:id="rId2573" tooltip="Завантажити сертифікат" display="Завантажити сертифікат"/>
    <hyperlink ref="F2585" r:id="rId2574" tooltip="Завантажити сертифікат" display="Завантажити сертифікат"/>
    <hyperlink ref="F2586" r:id="rId2575" tooltip="Завантажити сертифікат" display="Завантажити сертифікат"/>
    <hyperlink ref="F2587" r:id="rId2576" tooltip="Завантажити сертифікат" display="Завантажити сертифікат"/>
    <hyperlink ref="F2588" r:id="rId2577" tooltip="Завантажити сертифікат" display="Завантажити сертифікат"/>
    <hyperlink ref="F2589" r:id="rId2578" tooltip="Завантажити сертифікат" display="Завантажити сертифікат"/>
    <hyperlink ref="F2590" r:id="rId2579" tooltip="Завантажити сертифікат" display="Завантажити сертифікат"/>
    <hyperlink ref="F2591" r:id="rId2580" tooltip="Завантажити сертифікат" display="Завантажити сертифікат"/>
    <hyperlink ref="F2592" r:id="rId2581" tooltip="Завантажити сертифікат" display="Завантажити сертифікат"/>
    <hyperlink ref="F2593" r:id="rId2582" tooltip="Завантажити сертифікат" display="Завантажити сертифікат"/>
    <hyperlink ref="F2594" r:id="rId2583" tooltip="Завантажити сертифікат" display="Завантажити сертифікат"/>
    <hyperlink ref="F2595" r:id="rId2584" tooltip="Завантажити сертифікат" display="Завантажити сертифікат"/>
    <hyperlink ref="F2596" r:id="rId2585" tooltip="Завантажити сертифікат" display="Завантажити сертифікат"/>
    <hyperlink ref="F2597" r:id="rId2586" tooltip="Завантажити сертифікат" display="Завантажити сертифікат"/>
    <hyperlink ref="F2598" r:id="rId2587" tooltip="Завантажити сертифікат" display="Завантажити сертифікат"/>
    <hyperlink ref="F2599" r:id="rId2588" tooltip="Завантажити сертифікат" display="Завантажити сертифікат"/>
    <hyperlink ref="F2600" r:id="rId2589" tooltip="Завантажити сертифікат" display="Завантажити сертифікат"/>
    <hyperlink ref="F2601" r:id="rId2590" tooltip="Завантажити сертифікат" display="Завантажити сертифікат"/>
    <hyperlink ref="F2602" r:id="rId2591" tooltip="Завантажити сертифікат" display="Завантажити сертифікат"/>
    <hyperlink ref="F2603" r:id="rId2592" tooltip="Завантажити сертифікат" display="Завантажити сертифікат"/>
    <hyperlink ref="F2604" r:id="rId2593" tooltip="Завантажити сертифікат" display="Завантажити сертифікат"/>
    <hyperlink ref="F2605" r:id="rId2594" tooltip="Завантажити сертифікат" display="Завантажити сертифікат"/>
    <hyperlink ref="F2606" r:id="rId2595" tooltip="Завантажити сертифікат" display="Завантажити сертифікат"/>
    <hyperlink ref="F2607" r:id="rId2596" tooltip="Завантажити сертифікат" display="Завантажити сертифікат"/>
    <hyperlink ref="F2608" r:id="rId2597" tooltip="Завантажити сертифікат" display="Завантажити сертифікат"/>
    <hyperlink ref="F2609" r:id="rId2598" tooltip="Завантажити сертифікат" display="Завантажити сертифікат"/>
    <hyperlink ref="F2610" r:id="rId2599" tooltip="Завантажити сертифікат" display="Завантажити сертифікат"/>
    <hyperlink ref="F2611" r:id="rId2600" tooltip="Завантажити сертифікат" display="Завантажити сертифікат"/>
    <hyperlink ref="F2612" r:id="rId2601" tooltip="Завантажити сертифікат" display="Завантажити сертифікат"/>
    <hyperlink ref="F2613" r:id="rId2602" tooltip="Завантажити сертифікат" display="Завантажити сертифікат"/>
    <hyperlink ref="F2614" r:id="rId2603" tooltip="Завантажити сертифікат" display="Завантажити сертифікат"/>
    <hyperlink ref="F2615" r:id="rId2604" tooltip="Завантажити сертифікат" display="Завантажити сертифікат"/>
    <hyperlink ref="F2616" r:id="rId2605" tooltip="Завантажити сертифікат" display="Завантажити сертифікат"/>
    <hyperlink ref="F2617" r:id="rId2606" tooltip="Завантажити сертифікат" display="Завантажити сертифікат"/>
    <hyperlink ref="F2618" r:id="rId2607" tooltip="Завантажити сертифікат" display="Завантажити сертифікат"/>
    <hyperlink ref="F2619" r:id="rId2608" tooltip="Завантажити сертифікат" display="Завантажити сертифікат"/>
    <hyperlink ref="F2620" r:id="rId2609" tooltip="Завантажити сертифікат" display="Завантажити сертифікат"/>
    <hyperlink ref="F2621" r:id="rId2610" tooltip="Завантажити сертифікат" display="Завантажити сертифікат"/>
    <hyperlink ref="F2622" r:id="rId2611" tooltip="Завантажити сертифікат" display="Завантажити сертифікат"/>
    <hyperlink ref="F2623" r:id="rId2612" tooltip="Завантажити сертифікат" display="Завантажити сертифікат"/>
    <hyperlink ref="F2624" r:id="rId2613" tooltip="Завантажити сертифікат" display="Завантажити сертифікат"/>
    <hyperlink ref="F2625" r:id="rId2614" tooltip="Завантажити сертифікат" display="Завантажити сертифікат"/>
    <hyperlink ref="F2626" r:id="rId2615" tooltip="Завантажити сертифікат" display="Завантажити сертифікат"/>
    <hyperlink ref="F2627" r:id="rId2616" tooltip="Завантажити сертифікат" display="Завантажити сертифікат"/>
    <hyperlink ref="F2628" r:id="rId2617" tooltip="Завантажити сертифікат" display="Завантажити сертифікат"/>
    <hyperlink ref="F2629" r:id="rId2618" tooltip="Завантажити сертифікат" display="Завантажити сертифікат"/>
    <hyperlink ref="F2630" r:id="rId2619" tooltip="Завантажити сертифікат" display="Завантажити сертифікат"/>
    <hyperlink ref="F2631" r:id="rId2620" tooltip="Завантажити сертифікат" display="Завантажити сертифікат"/>
    <hyperlink ref="F2632" r:id="rId2621" tooltip="Завантажити сертифікат" display="Завантажити сертифікат"/>
    <hyperlink ref="F2633" r:id="rId2622" tooltip="Завантажити сертифікат" display="Завантажити сертифікат"/>
    <hyperlink ref="F2634" r:id="rId2623" tooltip="Завантажити сертифікат" display="Завантажити сертифікат"/>
    <hyperlink ref="F2635" r:id="rId2624" tooltip="Завантажити сертифікат" display="Завантажити сертифікат"/>
    <hyperlink ref="F2636" r:id="rId2625" tooltip="Завантажити сертифікат" display="Завантажити сертифікат"/>
    <hyperlink ref="F2637" r:id="rId2626" tooltip="Завантажити сертифікат" display="Завантажити сертифікат"/>
    <hyperlink ref="F2638" r:id="rId2627" tooltip="Завантажити сертифікат" display="Завантажити сертифікат"/>
    <hyperlink ref="F2639" r:id="rId2628" tooltip="Завантажити сертифікат" display="Завантажити сертифікат"/>
    <hyperlink ref="F2640" r:id="rId2629" tooltip="Завантажити сертифікат" display="Завантажити сертифікат"/>
    <hyperlink ref="F2641" r:id="rId2630" tooltip="Завантажити сертифікат" display="Завантажити сертифікат"/>
    <hyperlink ref="F2642" r:id="rId2631" tooltip="Завантажити сертифікат" display="Завантажити сертифікат"/>
    <hyperlink ref="F2643" r:id="rId2632" tooltip="Завантажити сертифікат" display="Завантажити сертифікат"/>
    <hyperlink ref="F2644" r:id="rId2633" tooltip="Завантажити сертифікат" display="Завантажити сертифікат"/>
    <hyperlink ref="F2645" r:id="rId2634" tooltip="Завантажити сертифікат" display="Завантажити сертифікат"/>
    <hyperlink ref="F2646" r:id="rId2635" tooltip="Завантажити сертифікат" display="Завантажити сертифікат"/>
    <hyperlink ref="F2647" r:id="rId2636" tooltip="Завантажити сертифікат" display="Завантажити сертифікат"/>
    <hyperlink ref="F2648" r:id="rId2637" tooltip="Завантажити сертифікат" display="Завантажити сертифікат"/>
    <hyperlink ref="F2649" r:id="rId2638" tooltip="Завантажити сертифікат" display="Завантажити сертифікат"/>
    <hyperlink ref="F2650" r:id="rId2639" tooltip="Завантажити сертифікат" display="Завантажити сертифікат"/>
    <hyperlink ref="F2651" r:id="rId2640" tooltip="Завантажити сертифікат" display="Завантажити сертифікат"/>
    <hyperlink ref="F2652" r:id="rId2641" tooltip="Завантажити сертифікат" display="Завантажити сертифікат"/>
    <hyperlink ref="F2653" r:id="rId2642" tooltip="Завантажити сертифікат" display="Завантажити сертифікат"/>
    <hyperlink ref="F2654" r:id="rId2643" tooltip="Завантажити сертифікат" display="Завантажити сертифікат"/>
    <hyperlink ref="F2655" r:id="rId2644" tooltip="Завантажити сертифікат" display="Завантажити сертифікат"/>
    <hyperlink ref="F2656" r:id="rId2645" tooltip="Завантажити сертифікат" display="Завантажити сертифікат"/>
    <hyperlink ref="F2657" r:id="rId2646" tooltip="Завантажити сертифікат" display="Завантажити сертифікат"/>
    <hyperlink ref="F2658" r:id="rId2647" tooltip="Завантажити сертифікат" display="Завантажити сертифікат"/>
    <hyperlink ref="F2659" r:id="rId2648" tooltip="Завантажити сертифікат" display="Завантажити сертифікат"/>
    <hyperlink ref="F2660" r:id="rId2649" tooltip="Завантажити сертифікат" display="Завантажити сертифікат"/>
    <hyperlink ref="F2661" r:id="rId2650" tooltip="Завантажити сертифікат" display="Завантажити сертифікат"/>
    <hyperlink ref="F2662" r:id="rId2651" tooltip="Завантажити сертифікат" display="Завантажити сертифікат"/>
    <hyperlink ref="F2663" r:id="rId2652" tooltip="Завантажити сертифікат" display="Завантажити сертифікат"/>
    <hyperlink ref="F2664" r:id="rId2653" tooltip="Завантажити сертифікат" display="Завантажити сертифікат"/>
    <hyperlink ref="F2665" r:id="rId2654" tooltip="Завантажити сертифікат" display="Завантажити сертифікат"/>
    <hyperlink ref="F2666" r:id="rId2655" tooltip="Завантажити сертифікат" display="Завантажити сертифікат"/>
    <hyperlink ref="F2667" r:id="rId2656" tooltip="Завантажити сертифікат" display="Завантажити сертифікат"/>
    <hyperlink ref="F2668" r:id="rId2657" tooltip="Завантажити сертифікат" display="Завантажити сертифікат"/>
    <hyperlink ref="F2669" r:id="rId2658" tooltip="Завантажити сертифікат" display="Завантажити сертифікат"/>
    <hyperlink ref="F2670" r:id="rId2659" tooltip="Завантажити сертифікат" display="Завантажити сертифікат"/>
    <hyperlink ref="F2671" r:id="rId2660" tooltip="Завантажити сертифікат" display="Завантажити сертифікат"/>
    <hyperlink ref="F2672" r:id="rId2661" tooltip="Завантажити сертифікат" display="Завантажити сертифікат"/>
    <hyperlink ref="F2673" r:id="rId2662" tooltip="Завантажити сертифікат" display="Завантажити сертифікат"/>
    <hyperlink ref="F2674" r:id="rId2663" tooltip="Завантажити сертифікат" display="Завантажити сертифікат"/>
    <hyperlink ref="F2675" r:id="rId2664" tooltip="Завантажити сертифікат" display="Завантажити сертифікат"/>
    <hyperlink ref="F2676" r:id="rId2665" tooltip="Завантажити сертифікат" display="Завантажити сертифікат"/>
    <hyperlink ref="F2677" r:id="rId2666" tooltip="Завантажити сертифікат" display="Завантажити сертифікат"/>
    <hyperlink ref="F2678" r:id="rId2667" tooltip="Завантажити сертифікат" display="Завантажити сертифікат"/>
    <hyperlink ref="F2679" r:id="rId2668" tooltip="Завантажити сертифікат" display="Завантажити сертифікат"/>
    <hyperlink ref="F2680" r:id="rId2669" tooltip="Завантажити сертифікат" display="Завантажити сертифікат"/>
    <hyperlink ref="F2681" r:id="rId2670" tooltip="Завантажити сертифікат" display="Завантажити сертифікат"/>
    <hyperlink ref="F2682" r:id="rId2671" tooltip="Завантажити сертифікат" display="Завантажити сертифікат"/>
    <hyperlink ref="F2683" r:id="rId2672" tooltip="Завантажити сертифікат" display="Завантажити сертифікат"/>
    <hyperlink ref="F2684" r:id="rId2673" tooltip="Завантажити сертифікат" display="Завантажити сертифікат"/>
    <hyperlink ref="F2685" r:id="rId2674" tooltip="Завантажити сертифікат" display="Завантажити сертифікат"/>
    <hyperlink ref="F2686" r:id="rId2675" tooltip="Завантажити сертифікат" display="Завантажити сертифікат"/>
    <hyperlink ref="F2687" r:id="rId2676" tooltip="Завантажити сертифікат" display="Завантажити сертифікат"/>
    <hyperlink ref="F2688" r:id="rId2677" tooltip="Завантажити сертифікат" display="Завантажити сертифікат"/>
    <hyperlink ref="F2689" r:id="rId2678" tooltip="Завантажити сертифікат" display="Завантажити сертифікат"/>
    <hyperlink ref="F2690" r:id="rId2679" tooltip="Завантажити сертифікат" display="Завантажити сертифікат"/>
    <hyperlink ref="F2691" r:id="rId2680" tooltip="Завантажити сертифікат" display="Завантажити сертифікат"/>
    <hyperlink ref="F2692" r:id="rId2681" tooltip="Завантажити сертифікат" display="Завантажити сертифікат"/>
    <hyperlink ref="F2693" r:id="rId2682" tooltip="Завантажити сертифікат" display="Завантажити сертифікат"/>
    <hyperlink ref="F2694" r:id="rId2683" tooltip="Завантажити сертифікат" display="Завантажити сертифікат"/>
    <hyperlink ref="F2695" r:id="rId2684" tooltip="Завантажити сертифікат" display="Завантажити сертифікат"/>
    <hyperlink ref="F2696" r:id="rId2685" tooltip="Завантажити сертифікат" display="Завантажити сертифікат"/>
    <hyperlink ref="F2697" r:id="rId2686" tooltip="Завантажити сертифікат" display="Завантажити сертифікат"/>
    <hyperlink ref="F2698" r:id="rId2687" tooltip="Завантажити сертифікат" display="Завантажити сертифікат"/>
    <hyperlink ref="F2699" r:id="rId2688" tooltip="Завантажити сертифікат" display="Завантажити сертифікат"/>
    <hyperlink ref="F2700" r:id="rId2689" tooltip="Завантажити сертифікат" display="Завантажити сертифікат"/>
    <hyperlink ref="F2701" r:id="rId2690" tooltip="Завантажити сертифікат" display="Завантажити сертифікат"/>
    <hyperlink ref="F2702" r:id="rId2691" tooltip="Завантажити сертифікат" display="Завантажити сертифікат"/>
    <hyperlink ref="F2703" r:id="rId2692" tooltip="Завантажити сертифікат" display="Завантажити сертифікат"/>
    <hyperlink ref="F2704" r:id="rId2693" tooltip="Завантажити сертифікат" display="Завантажити сертифікат"/>
    <hyperlink ref="F2705" r:id="rId2694" tooltip="Завантажити сертифікат" display="Завантажити сертифікат"/>
    <hyperlink ref="F2706" r:id="rId2695" tooltip="Завантажити сертифікат" display="Завантажити сертифікат"/>
    <hyperlink ref="F2707" r:id="rId2696" tooltip="Завантажити сертифікат" display="Завантажити сертифікат"/>
    <hyperlink ref="F2708" r:id="rId2697" tooltip="Завантажити сертифікат" display="Завантажити сертифікат"/>
    <hyperlink ref="F2709" r:id="rId2698" tooltip="Завантажити сертифікат" display="Завантажити сертифікат"/>
    <hyperlink ref="F2710" r:id="rId2699" tooltip="Завантажити сертифікат" display="Завантажити сертифікат"/>
    <hyperlink ref="F2711" r:id="rId2700" tooltip="Завантажити сертифікат" display="Завантажити сертифікат"/>
    <hyperlink ref="F2712" r:id="rId2701" tooltip="Завантажити сертифікат" display="Завантажити сертифікат"/>
    <hyperlink ref="F2713" r:id="rId2702" tooltip="Завантажити сертифікат" display="Завантажити сертифікат"/>
    <hyperlink ref="F2714" r:id="rId2703" tooltip="Завантажити сертифікат" display="Завантажити сертифікат"/>
    <hyperlink ref="F2715" r:id="rId2704" tooltip="Завантажити сертифікат" display="Завантажити сертифікат"/>
    <hyperlink ref="F2716" r:id="rId2705" tooltip="Завантажити сертифікат" display="Завантажити сертифікат"/>
    <hyperlink ref="F2717" r:id="rId2706" tooltip="Завантажити сертифікат" display="Завантажити сертифікат"/>
    <hyperlink ref="F2718" r:id="rId2707" tooltip="Завантажити сертифікат" display="Завантажити сертифікат"/>
    <hyperlink ref="F2719" r:id="rId2708" tooltip="Завантажити сертифікат" display="Завантажити сертифікат"/>
    <hyperlink ref="F2720" r:id="rId2709" tooltip="Завантажити сертифікат" display="Завантажити сертифікат"/>
    <hyperlink ref="F2721" r:id="rId2710" tooltip="Завантажити сертифікат" display="Завантажити сертифікат"/>
    <hyperlink ref="F2722" r:id="rId2711" tooltip="Завантажити сертифікат" display="Завантажити сертифікат"/>
    <hyperlink ref="F2723" r:id="rId2712" tooltip="Завантажити сертифікат" display="Завантажити сертифікат"/>
    <hyperlink ref="F2724" r:id="rId2713" tooltip="Завантажити сертифікат" display="Завантажити сертифікат"/>
    <hyperlink ref="F2725" r:id="rId2714" tooltip="Завантажити сертифікат" display="Завантажити сертифікат"/>
    <hyperlink ref="F2726" r:id="rId2715" tooltip="Завантажити сертифікат" display="Завантажити сертифікат"/>
    <hyperlink ref="F2727" r:id="rId2716" tooltip="Завантажити сертифікат" display="Завантажити сертифікат"/>
    <hyperlink ref="F2728" r:id="rId2717" tooltip="Завантажити сертифікат" display="Завантажити сертифікат"/>
    <hyperlink ref="F2729" r:id="rId2718" tooltip="Завантажити сертифікат" display="Завантажити сертифікат"/>
    <hyperlink ref="F2730" r:id="rId2719" tooltip="Завантажити сертифікат" display="Завантажити сертифікат"/>
    <hyperlink ref="F2731" r:id="rId2720" tooltip="Завантажити сертифікат" display="Завантажити сертифікат"/>
    <hyperlink ref="F2732" r:id="rId2721" tooltip="Завантажити сертифікат" display="Завантажити сертифікат"/>
    <hyperlink ref="F2733" r:id="rId2722" tooltip="Завантажити сертифікат" display="Завантажити сертифікат"/>
    <hyperlink ref="F2734" r:id="rId2723" tooltip="Завантажити сертифікат" display="Завантажити сертифікат"/>
    <hyperlink ref="F2735" r:id="rId2724" tooltip="Завантажити сертифікат" display="Завантажити сертифікат"/>
    <hyperlink ref="F2736" r:id="rId2725" tooltip="Завантажити сертифікат" display="Завантажити сертифікат"/>
    <hyperlink ref="F2737" r:id="rId2726" tooltip="Завантажити сертифікат" display="Завантажити сертифікат"/>
    <hyperlink ref="F2738" r:id="rId2727" tooltip="Завантажити сертифікат" display="Завантажити сертифікат"/>
    <hyperlink ref="F2739" r:id="rId2728" tooltip="Завантажити сертифікат" display="Завантажити сертифікат"/>
    <hyperlink ref="F2740" r:id="rId2729" tooltip="Завантажити сертифікат" display="Завантажити сертифікат"/>
    <hyperlink ref="F2741" r:id="rId2730" tooltip="Завантажити сертифікат" display="Завантажити сертифікат"/>
    <hyperlink ref="F2742" r:id="rId2731" tooltip="Завантажити сертифікат" display="Завантажити сертифікат"/>
    <hyperlink ref="F2743" r:id="rId2732" tooltip="Завантажити сертифікат" display="Завантажити сертифікат"/>
    <hyperlink ref="F2744" r:id="rId2733" tooltip="Завантажити сертифікат" display="Завантажити сертифікат"/>
    <hyperlink ref="F2745" r:id="rId2734" tooltip="Завантажити сертифікат" display="Завантажити сертифікат"/>
    <hyperlink ref="F2746" r:id="rId2735" tooltip="Завантажити сертифікат" display="Завантажити сертифікат"/>
    <hyperlink ref="F2747" r:id="rId2736" tooltip="Завантажити сертифікат" display="Завантажити сертифікат"/>
    <hyperlink ref="F2748" r:id="rId2737" tooltip="Завантажити сертифікат" display="Завантажити сертифікат"/>
    <hyperlink ref="F2749" r:id="rId2738" tooltip="Завантажити сертифікат" display="Завантажити сертифікат"/>
    <hyperlink ref="F2750" r:id="rId2739" tooltip="Завантажити сертифікат" display="Завантажити сертифікат"/>
    <hyperlink ref="F2751" r:id="rId2740" tooltip="Завантажити сертифікат" display="Завантажити сертифікат"/>
    <hyperlink ref="F2752" r:id="rId2741" tooltip="Завантажити сертифікат" display="Завантажити сертифікат"/>
    <hyperlink ref="F2753" r:id="rId2742" tooltip="Завантажити сертифікат" display="Завантажити сертифікат"/>
    <hyperlink ref="F2754" r:id="rId2743" tooltip="Завантажити сертифікат" display="Завантажити сертифікат"/>
    <hyperlink ref="F2755" r:id="rId2744" tooltip="Завантажити сертифікат" display="Завантажити сертифікат"/>
    <hyperlink ref="F2756" r:id="rId2745" tooltip="Завантажити сертифікат" display="Завантажити сертифікат"/>
    <hyperlink ref="F2757" r:id="rId2746" tooltip="Завантажити сертифікат" display="Завантажити сертифікат"/>
    <hyperlink ref="F2758" r:id="rId2747" tooltip="Завантажити сертифікат" display="Завантажити сертифікат"/>
    <hyperlink ref="F2759" r:id="rId2748" tooltip="Завантажити сертифікат" display="Завантажити сертифікат"/>
    <hyperlink ref="F2760" r:id="rId2749" tooltip="Завантажити сертифікат" display="Завантажити сертифікат"/>
    <hyperlink ref="F2761" r:id="rId2750" tooltip="Завантажити сертифікат" display="Завантажити сертифікат"/>
    <hyperlink ref="F2762" r:id="rId2751" tooltip="Завантажити сертифікат" display="Завантажити сертифікат"/>
    <hyperlink ref="F2763" r:id="rId2752" tooltip="Завантажити сертифікат" display="Завантажити сертифікат"/>
    <hyperlink ref="F2764" r:id="rId2753" tooltip="Завантажити сертифікат" display="Завантажити сертифікат"/>
    <hyperlink ref="F2765" r:id="rId2754" tooltip="Завантажити сертифікат" display="Завантажити сертифікат"/>
    <hyperlink ref="F2766" r:id="rId2755" tooltip="Завантажити сертифікат" display="Завантажити сертифікат"/>
    <hyperlink ref="F2767" r:id="rId2756" tooltip="Завантажити сертифікат" display="Завантажити сертифікат"/>
    <hyperlink ref="F2768" r:id="rId2757" tooltip="Завантажити сертифікат" display="Завантажити сертифікат"/>
    <hyperlink ref="F2769" r:id="rId2758" tooltip="Завантажити сертифікат" display="Завантажити сертифікат"/>
    <hyperlink ref="F2770" r:id="rId2759" tooltip="Завантажити сертифікат" display="Завантажити сертифікат"/>
    <hyperlink ref="F2771" r:id="rId2760" tooltip="Завантажити сертифікат" display="Завантажити сертифікат"/>
    <hyperlink ref="F2772" r:id="rId2761" tooltip="Завантажити сертифікат" display="Завантажити сертифікат"/>
    <hyperlink ref="F2773" r:id="rId2762" tooltip="Завантажити сертифікат" display="Завантажити сертифікат"/>
    <hyperlink ref="F2774" r:id="rId2763" tooltip="Завантажити сертифікат" display="Завантажити сертифікат"/>
    <hyperlink ref="F2775" r:id="rId2764" tooltip="Завантажити сертифікат" display="Завантажити сертифікат"/>
    <hyperlink ref="F2776" r:id="rId2765" tooltip="Завантажити сертифікат" display="Завантажити сертифікат"/>
    <hyperlink ref="F2777" r:id="rId2766" tooltip="Завантажити сертифікат" display="Завантажити сертифікат"/>
    <hyperlink ref="F2778" r:id="rId2767" tooltip="Завантажити сертифікат" display="Завантажити сертифікат"/>
    <hyperlink ref="F2779" r:id="rId2768" tooltip="Завантажити сертифікат" display="Завантажити сертифікат"/>
    <hyperlink ref="F2780" r:id="rId2769" tooltip="Завантажити сертифікат" display="Завантажити сертифікат"/>
    <hyperlink ref="F2781" r:id="rId2770" tooltip="Завантажити сертифікат" display="Завантажити сертифікат"/>
    <hyperlink ref="F2782" r:id="rId2771" tooltip="Завантажити сертифікат" display="Завантажити сертифікат"/>
    <hyperlink ref="F2783" r:id="rId2772" tooltip="Завантажити сертифікат" display="Завантажити сертифікат"/>
    <hyperlink ref="F2784" r:id="rId2773" tooltip="Завантажити сертифікат" display="Завантажити сертифікат"/>
    <hyperlink ref="F2785" r:id="rId2774" tooltip="Завантажити сертифікат" display="Завантажити сертифікат"/>
    <hyperlink ref="F2786" r:id="rId2775" tooltip="Завантажити сертифікат" display="Завантажити сертифікат"/>
    <hyperlink ref="F2787" r:id="rId2776" tooltip="Завантажити сертифікат" display="Завантажити сертифікат"/>
    <hyperlink ref="F2788" r:id="rId2777" tooltip="Завантажити сертифікат" display="Завантажити сертифікат"/>
    <hyperlink ref="F2789" r:id="rId2778" tooltip="Завантажити сертифікат" display="Завантажити сертифікат"/>
    <hyperlink ref="F2790" r:id="rId2779" tooltip="Завантажити сертифікат" display="Завантажити сертифікат"/>
    <hyperlink ref="F2791" r:id="rId2780" tooltip="Завантажити сертифікат" display="Завантажити сертифікат"/>
    <hyperlink ref="F2792" r:id="rId2781" tooltip="Завантажити сертифікат" display="Завантажити сертифікат"/>
    <hyperlink ref="F2793" r:id="rId2782" tooltip="Завантажити сертифікат" display="Завантажити сертифікат"/>
    <hyperlink ref="F2794" r:id="rId2783" tooltip="Завантажити сертифікат" display="Завантажити сертифікат"/>
    <hyperlink ref="F2795" r:id="rId2784" tooltip="Завантажити сертифікат" display="Завантажити сертифікат"/>
    <hyperlink ref="F2796" r:id="rId2785" tooltip="Завантажити сертифікат" display="Завантажити сертифікат"/>
    <hyperlink ref="F2797" r:id="rId2786" tooltip="Завантажити сертифікат" display="Завантажити сертифікат"/>
    <hyperlink ref="F2798" r:id="rId2787" tooltip="Завантажити сертифікат" display="Завантажити сертифікат"/>
    <hyperlink ref="F2799" r:id="rId2788" tooltip="Завантажити сертифікат" display="Завантажити сертифікат"/>
    <hyperlink ref="F2800" r:id="rId2789" tooltip="Завантажити сертифікат" display="Завантажити сертифікат"/>
    <hyperlink ref="F2801" r:id="rId2790" tooltip="Завантажити сертифікат" display="Завантажити сертифікат"/>
    <hyperlink ref="F2802" r:id="rId2791" tooltip="Завантажити сертифікат" display="Завантажити сертифікат"/>
    <hyperlink ref="F2803" r:id="rId2792" tooltip="Завантажити сертифікат" display="Завантажити сертифікат"/>
    <hyperlink ref="F2804" r:id="rId2793" tooltip="Завантажити сертифікат" display="Завантажити сертифікат"/>
    <hyperlink ref="F2805" r:id="rId2794" tooltip="Завантажити сертифікат" display="Завантажити сертифікат"/>
    <hyperlink ref="F2806" r:id="rId2795" tooltip="Завантажити сертифікат" display="Завантажити сертифікат"/>
    <hyperlink ref="F2807" r:id="rId2796" tooltip="Завантажити сертифікат" display="Завантажити сертифікат"/>
    <hyperlink ref="F2808" r:id="rId2797" tooltip="Завантажити сертифікат" display="Завантажити сертифікат"/>
    <hyperlink ref="F2809" r:id="rId2798" tooltip="Завантажити сертифікат" display="Завантажити сертифікат"/>
    <hyperlink ref="F2810" r:id="rId2799" tooltip="Завантажити сертифікат" display="Завантажити сертифікат"/>
    <hyperlink ref="F2811" r:id="rId2800" tooltip="Завантажити сертифікат" display="Завантажити сертифікат"/>
    <hyperlink ref="F2812" r:id="rId2801" tooltip="Завантажити сертифікат" display="Завантажити сертифікат"/>
    <hyperlink ref="F2813" r:id="rId2802" tooltip="Завантажити сертифікат" display="Завантажити сертифікат"/>
    <hyperlink ref="F2814" r:id="rId2803" tooltip="Завантажити сертифікат" display="Завантажити сертифікат"/>
    <hyperlink ref="F2815" r:id="rId2804" tooltip="Завантажити сертифікат" display="Завантажити сертифікат"/>
    <hyperlink ref="F2816" r:id="rId2805" tooltip="Завантажити сертифікат" display="Завантажити сертифікат"/>
    <hyperlink ref="F2817" r:id="rId2806" tooltip="Завантажити сертифікат" display="Завантажити сертифікат"/>
    <hyperlink ref="F2818" r:id="rId2807" tooltip="Завантажити сертифікат" display="Завантажити сертифікат"/>
    <hyperlink ref="F2819" r:id="rId2808" tooltip="Завантажити сертифікат" display="Завантажити сертифікат"/>
    <hyperlink ref="F2820" r:id="rId2809" tooltip="Завантажити сертифікат" display="Завантажити сертифікат"/>
    <hyperlink ref="F2821" r:id="rId2810" tooltip="Завантажити сертифікат" display="Завантажити сертифікат"/>
    <hyperlink ref="F2822" r:id="rId2811" tooltip="Завантажити сертифікат" display="Завантажити сертифікат"/>
    <hyperlink ref="F2823" r:id="rId2812" tooltip="Завантажити сертифікат" display="Завантажити сертифікат"/>
    <hyperlink ref="F2824" r:id="rId2813" tooltip="Завантажити сертифікат" display="Завантажити сертифікат"/>
    <hyperlink ref="F2825" r:id="rId2814" tooltip="Завантажити сертифікат" display="Завантажити сертифікат"/>
    <hyperlink ref="F2826" r:id="rId2815" tooltip="Завантажити сертифікат" display="Завантажити сертифікат"/>
    <hyperlink ref="F2827" r:id="rId2816" tooltip="Завантажити сертифікат" display="Завантажити сертифікат"/>
    <hyperlink ref="F2828" r:id="rId2817" tooltip="Завантажити сертифікат" display="Завантажити сертифікат"/>
    <hyperlink ref="F2829" r:id="rId2818" tooltip="Завантажити сертифікат" display="Завантажити сертифікат"/>
    <hyperlink ref="F2830" r:id="rId2819" tooltip="Завантажити сертифікат" display="Завантажити сертифікат"/>
    <hyperlink ref="F2831" r:id="rId2820" tooltip="Завантажити сертифікат" display="Завантажити сертифікат"/>
    <hyperlink ref="F2832" r:id="rId2821" tooltip="Завантажити сертифікат" display="Завантажити сертифікат"/>
    <hyperlink ref="F2833" r:id="rId2822" tooltip="Завантажити сертифікат" display="Завантажити сертифікат"/>
    <hyperlink ref="F2834" r:id="rId2823" tooltip="Завантажити сертифікат" display="Завантажити сертифікат"/>
    <hyperlink ref="F2835" r:id="rId2824" tooltip="Завантажити сертифікат" display="Завантажити сертифікат"/>
    <hyperlink ref="F2836" r:id="rId2825" tooltip="Завантажити сертифікат" display="Завантажити сертифікат"/>
    <hyperlink ref="F2837" r:id="rId2826" tooltip="Завантажити сертифікат" display="Завантажити сертифікат"/>
    <hyperlink ref="F2838" r:id="rId2827" tooltip="Завантажити сертифікат" display="Завантажити сертифікат"/>
    <hyperlink ref="F2839" r:id="rId2828" tooltip="Завантажити сертифікат" display="Завантажити сертифікат"/>
    <hyperlink ref="F2840" r:id="rId2829" tooltip="Завантажити сертифікат" display="Завантажити сертифікат"/>
    <hyperlink ref="F2841" r:id="rId2830" tooltip="Завантажити сертифікат" display="Завантажити сертифікат"/>
    <hyperlink ref="F2842" r:id="rId2831" tooltip="Завантажити сертифікат" display="Завантажити сертифікат"/>
    <hyperlink ref="F2843" r:id="rId2832" tooltip="Завантажити сертифікат" display="Завантажити сертифікат"/>
    <hyperlink ref="F2844" r:id="rId2833" tooltip="Завантажити сертифікат" display="Завантажити сертифікат"/>
    <hyperlink ref="F2845" r:id="rId2834" tooltip="Завантажити сертифікат" display="Завантажити сертифікат"/>
    <hyperlink ref="F2846" r:id="rId2835" tooltip="Завантажити сертифікат" display="Завантажити сертифікат"/>
    <hyperlink ref="F2847" r:id="rId2836" tooltip="Завантажити сертифікат" display="Завантажити сертифікат"/>
    <hyperlink ref="F2848" r:id="rId2837" tooltip="Завантажити сертифікат" display="Завантажити сертифікат"/>
    <hyperlink ref="F2849" r:id="rId2838" tooltip="Завантажити сертифікат" display="Завантажити сертифікат"/>
    <hyperlink ref="F2850" r:id="rId2839" tooltip="Завантажити сертифікат" display="Завантажити сертифікат"/>
    <hyperlink ref="F2851" r:id="rId2840" tooltip="Завантажити сертифікат" display="Завантажити сертифікат"/>
    <hyperlink ref="F2852" r:id="rId2841" tooltip="Завантажити сертифікат" display="Завантажити сертифікат"/>
    <hyperlink ref="F2853" r:id="rId2842" tooltip="Завантажити сертифікат" display="Завантажити сертифікат"/>
    <hyperlink ref="F2854" r:id="rId2843" tooltip="Завантажити сертифікат" display="Завантажити сертифікат"/>
    <hyperlink ref="F2855" r:id="rId2844" tooltip="Завантажити сертифікат" display="Завантажити сертифікат"/>
    <hyperlink ref="F2856" r:id="rId2845" tooltip="Завантажити сертифікат" display="Завантажити сертифікат"/>
    <hyperlink ref="F2857" r:id="rId2846" tooltip="Завантажити сертифікат" display="Завантажити сертифікат"/>
    <hyperlink ref="F2858" r:id="rId2847" tooltip="Завантажити сертифікат" display="Завантажити сертифікат"/>
    <hyperlink ref="F2859" r:id="rId2848" tooltip="Завантажити сертифікат" display="Завантажити сертифікат"/>
    <hyperlink ref="F2860" r:id="rId2849" tooltip="Завантажити сертифікат" display="Завантажити сертифікат"/>
    <hyperlink ref="F2861" r:id="rId2850" tooltip="Завантажити сертифікат" display="Завантажити сертифікат"/>
    <hyperlink ref="F2862" r:id="rId2851" tooltip="Завантажити сертифікат" display="Завантажити сертифікат"/>
    <hyperlink ref="F2863" r:id="rId2852" tooltip="Завантажити сертифікат" display="Завантажити сертифікат"/>
    <hyperlink ref="F2864" r:id="rId2853" tooltip="Завантажити сертифікат" display="Завантажити сертифікат"/>
    <hyperlink ref="F2865" r:id="rId2854" tooltip="Завантажити сертифікат" display="Завантажити сертифікат"/>
    <hyperlink ref="F2866" r:id="rId2855" tooltip="Завантажити сертифікат" display="Завантажити сертифікат"/>
    <hyperlink ref="F2867" r:id="rId2856" tooltip="Завантажити сертифікат" display="Завантажити сертифікат"/>
    <hyperlink ref="F2868" r:id="rId2857" tooltip="Завантажити сертифікат" display="Завантажити сертифікат"/>
    <hyperlink ref="F2869" r:id="rId2858" tooltip="Завантажити сертифікат" display="Завантажити сертифікат"/>
    <hyperlink ref="F2870" r:id="rId2859" tooltip="Завантажити сертифікат" display="Завантажити сертифікат"/>
    <hyperlink ref="F2871" r:id="rId2860" tooltip="Завантажити сертифікат" display="Завантажити сертифікат"/>
    <hyperlink ref="F2872" r:id="rId2861" tooltip="Завантажити сертифікат" display="Завантажити сертифікат"/>
    <hyperlink ref="F2873" r:id="rId2862" tooltip="Завантажити сертифікат" display="Завантажити сертифікат"/>
    <hyperlink ref="F2874" r:id="rId2863" tooltip="Завантажити сертифікат" display="Завантажити сертифікат"/>
    <hyperlink ref="F2875" r:id="rId2864" tooltip="Завантажити сертифікат" display="Завантажити сертифікат"/>
    <hyperlink ref="F2876" r:id="rId2865" tooltip="Завантажити сертифікат" display="Завантажити сертифікат"/>
    <hyperlink ref="F2877" r:id="rId2866" tooltip="Завантажити сертифікат" display="Завантажити сертифікат"/>
    <hyperlink ref="F2878" r:id="rId2867" tooltip="Завантажити сертифікат" display="Завантажити сертифікат"/>
    <hyperlink ref="F2879" r:id="rId2868" tooltip="Завантажити сертифікат" display="Завантажити сертифікат"/>
    <hyperlink ref="F2880" r:id="rId2869" tooltip="Завантажити сертифікат" display="Завантажити сертифікат"/>
    <hyperlink ref="F2881" r:id="rId2870" tooltip="Завантажити сертифікат" display="Завантажити сертифікат"/>
    <hyperlink ref="F2882" r:id="rId2871" tooltip="Завантажити сертифікат" display="Завантажити сертифікат"/>
    <hyperlink ref="F2883" r:id="rId2872" tooltip="Завантажити сертифікат" display="Завантажити сертифікат"/>
    <hyperlink ref="F2884" r:id="rId2873" tooltip="Завантажити сертифікат" display="Завантажити сертифікат"/>
    <hyperlink ref="F2885" r:id="rId2874" tooltip="Завантажити сертифікат" display="Завантажити сертифікат"/>
    <hyperlink ref="F2886" r:id="rId2875" tooltip="Завантажити сертифікат" display="Завантажити сертифікат"/>
    <hyperlink ref="F2887" r:id="rId2876" tooltip="Завантажити сертифікат" display="Завантажити сертифікат"/>
    <hyperlink ref="F2888" r:id="rId2877" tooltip="Завантажити сертифікат" display="Завантажити сертифікат"/>
    <hyperlink ref="F2889" r:id="rId2878" tooltip="Завантажити сертифікат" display="Завантажити сертифікат"/>
    <hyperlink ref="F2890" r:id="rId2879" tooltip="Завантажити сертифікат" display="Завантажити сертифікат"/>
    <hyperlink ref="F2891" r:id="rId2880" tooltip="Завантажити сертифікат" display="Завантажити сертифікат"/>
    <hyperlink ref="F2892" r:id="rId2881" tooltip="Завантажити сертифікат" display="Завантажити сертифікат"/>
    <hyperlink ref="F2893" r:id="rId2882" tooltip="Завантажити сертифікат" display="Завантажити сертифікат"/>
    <hyperlink ref="F2894" r:id="rId2883" tooltip="Завантажити сертифікат" display="Завантажити сертифікат"/>
    <hyperlink ref="F2895" r:id="rId2884" tooltip="Завантажити сертифікат" display="Завантажити сертифікат"/>
    <hyperlink ref="F2896" r:id="rId2885" tooltip="Завантажити сертифікат" display="Завантажити сертифікат"/>
    <hyperlink ref="F2897" r:id="rId2886" tooltip="Завантажити сертифікат" display="Завантажити сертифікат"/>
    <hyperlink ref="F2898" r:id="rId2887" tooltip="Завантажити сертифікат" display="Завантажити сертифікат"/>
    <hyperlink ref="F2899" r:id="rId2888" tooltip="Завантажити сертифікат" display="Завантажити сертифікат"/>
    <hyperlink ref="F2900" r:id="rId2889" tooltip="Завантажити сертифікат" display="Завантажити сертифікат"/>
    <hyperlink ref="F2901" r:id="rId2890" tooltip="Завантажити сертифікат" display="Завантажити сертифікат"/>
    <hyperlink ref="F2902" r:id="rId2891" tooltip="Завантажити сертифікат" display="Завантажити сертифікат"/>
    <hyperlink ref="F2903" r:id="rId2892" tooltip="Завантажити сертифікат" display="Завантажити сертифікат"/>
    <hyperlink ref="F2904" r:id="rId2893" tooltip="Завантажити сертифікат" display="Завантажити сертифікат"/>
    <hyperlink ref="F2905" r:id="rId2894" tooltip="Завантажити сертифікат" display="Завантажити сертифікат"/>
    <hyperlink ref="F2906" r:id="rId2895" tooltip="Завантажити сертифікат" display="Завантажити сертифікат"/>
    <hyperlink ref="F2907" r:id="rId2896" tooltip="Завантажити сертифікат" display="Завантажити сертифікат"/>
    <hyperlink ref="F2908" r:id="rId2897" tooltip="Завантажити сертифікат" display="Завантажити сертифікат"/>
    <hyperlink ref="F2909" r:id="rId2898" tooltip="Завантажити сертифікат" display="Завантажити сертифікат"/>
    <hyperlink ref="F2910" r:id="rId2899" tooltip="Завантажити сертифікат" display="Завантажити сертифікат"/>
    <hyperlink ref="F2911" r:id="rId2900" tooltip="Завантажити сертифікат" display="Завантажити сертифікат"/>
    <hyperlink ref="F2912" r:id="rId2901" tooltip="Завантажити сертифікат" display="Завантажити сертифікат"/>
    <hyperlink ref="F2913" r:id="rId2902" tooltip="Завантажити сертифікат" display="Завантажити сертифікат"/>
    <hyperlink ref="F2914" r:id="rId2903" tooltip="Завантажити сертифікат" display="Завантажити сертифікат"/>
    <hyperlink ref="F2915" r:id="rId2904" tooltip="Завантажити сертифікат" display="Завантажити сертифікат"/>
    <hyperlink ref="F2916" r:id="rId2905" tooltip="Завантажити сертифікат" display="Завантажити сертифікат"/>
    <hyperlink ref="F2917" r:id="rId2906" tooltip="Завантажити сертифікат" display="Завантажити сертифікат"/>
    <hyperlink ref="F2918" r:id="rId2907" tooltip="Завантажити сертифікат" display="Завантажити сертифікат"/>
    <hyperlink ref="F2919" r:id="rId2908" tooltip="Завантажити сертифікат" display="Завантажити сертифікат"/>
    <hyperlink ref="F2920" r:id="rId2909" tooltip="Завантажити сертифікат" display="Завантажити сертифікат"/>
    <hyperlink ref="F2921" r:id="rId2910" tooltip="Завантажити сертифікат" display="Завантажити сертифікат"/>
    <hyperlink ref="F2922" r:id="rId2911" tooltip="Завантажити сертифікат" display="Завантажити сертифікат"/>
    <hyperlink ref="F2923" r:id="rId2912" tooltip="Завантажити сертифікат" display="Завантажити сертифікат"/>
    <hyperlink ref="F2924" r:id="rId2913" tooltip="Завантажити сертифікат" display="Завантажити сертифікат"/>
    <hyperlink ref="F2925" r:id="rId2914" tooltip="Завантажити сертифікат" display="Завантажити сертифікат"/>
    <hyperlink ref="F2926" r:id="rId2915" tooltip="Завантажити сертифікат" display="Завантажити сертифікат"/>
    <hyperlink ref="F2927" r:id="rId2916" tooltip="Завантажити сертифікат" display="Завантажити сертифікат"/>
    <hyperlink ref="F2928" r:id="rId2917" tooltip="Завантажити сертифікат" display="Завантажити сертифікат"/>
    <hyperlink ref="F2929" r:id="rId2918" tooltip="Завантажити сертифікат" display="Завантажити сертифікат"/>
    <hyperlink ref="F2930" r:id="rId2919" tooltip="Завантажити сертифікат" display="Завантажити сертифікат"/>
    <hyperlink ref="F2931" r:id="rId2920" tooltip="Завантажити сертифікат" display="Завантажити сертифікат"/>
    <hyperlink ref="F2932" r:id="rId2921" tooltip="Завантажити сертифікат" display="Завантажити сертифікат"/>
    <hyperlink ref="F2933" r:id="rId2922" tooltip="Завантажити сертифікат" display="Завантажити сертифікат"/>
    <hyperlink ref="F2934" r:id="rId2923" tooltip="Завантажити сертифікат" display="Завантажити сертифікат"/>
    <hyperlink ref="F2935" r:id="rId2924" tooltip="Завантажити сертифікат" display="Завантажити сертифікат"/>
    <hyperlink ref="F2936" r:id="rId2925" tooltip="Завантажити сертифікат" display="Завантажити сертифікат"/>
    <hyperlink ref="F2937" r:id="rId2926" tooltip="Завантажити сертифікат" display="Завантажити сертифікат"/>
    <hyperlink ref="F2938" r:id="rId2927" tooltip="Завантажити сертифікат" display="Завантажити сертифікат"/>
    <hyperlink ref="F2939" r:id="rId2928" tooltip="Завантажити сертифікат" display="Завантажити сертифікат"/>
    <hyperlink ref="F2940" r:id="rId2929" tooltip="Завантажити сертифікат" display="Завантажити сертифікат"/>
    <hyperlink ref="F2941" r:id="rId2930" tooltip="Завантажити сертифікат" display="Завантажити сертифікат"/>
    <hyperlink ref="F2942" r:id="rId2931" tooltip="Завантажити сертифікат" display="Завантажити сертифікат"/>
    <hyperlink ref="F2943" r:id="rId2932" tooltip="Завантажити сертифікат" display="Завантажити сертифікат"/>
    <hyperlink ref="F2944" r:id="rId2933" tooltip="Завантажити сертифікат" display="Завантажити сертифікат"/>
    <hyperlink ref="F2945" r:id="rId2934" tooltip="Завантажити сертифікат" display="Завантажити сертифікат"/>
    <hyperlink ref="F2946" r:id="rId2935" tooltip="Завантажити сертифікат" display="Завантажити сертифікат"/>
    <hyperlink ref="F2947" r:id="rId2936" tooltip="Завантажити сертифікат" display="Завантажити сертифікат"/>
    <hyperlink ref="F2948" r:id="rId2937" tooltip="Завантажити сертифікат" display="Завантажити сертифікат"/>
    <hyperlink ref="F2949" r:id="rId2938" tooltip="Завантажити сертифікат" display="Завантажити сертифікат"/>
    <hyperlink ref="F2950" r:id="rId2939" tooltip="Завантажити сертифікат" display="Завантажити сертифікат"/>
    <hyperlink ref="F2951" r:id="rId2940" tooltip="Завантажити сертифікат" display="Завантажити сертифікат"/>
    <hyperlink ref="F2952" r:id="rId2941" tooltip="Завантажити сертифікат" display="Завантажити сертифікат"/>
    <hyperlink ref="F2953" r:id="rId2942" tooltip="Завантажити сертифікат" display="Завантажити сертифікат"/>
    <hyperlink ref="F2954" r:id="rId2943" tooltip="Завантажити сертифікат" display="Завантажити сертифікат"/>
    <hyperlink ref="F2955" r:id="rId2944" tooltip="Завантажити сертифікат" display="Завантажити сертифікат"/>
    <hyperlink ref="F2956" r:id="rId2945" tooltip="Завантажити сертифікат" display="Завантажити сертифікат"/>
    <hyperlink ref="F2957" r:id="rId2946" tooltip="Завантажити сертифікат" display="Завантажити сертифікат"/>
    <hyperlink ref="F2958" r:id="rId2947" tooltip="Завантажити сертифікат" display="Завантажити сертифікат"/>
    <hyperlink ref="F2959" r:id="rId2948" tooltip="Завантажити сертифікат" display="Завантажити сертифікат"/>
    <hyperlink ref="F2960" r:id="rId2949" tooltip="Завантажити сертифікат" display="Завантажити сертифікат"/>
    <hyperlink ref="F2961" r:id="rId2950" tooltip="Завантажити сертифікат" display="Завантажити сертифікат"/>
    <hyperlink ref="F2962" r:id="rId2951" tooltip="Завантажити сертифікат" display="Завантажити сертифікат"/>
    <hyperlink ref="F2963" r:id="rId2952" tooltip="Завантажити сертифікат" display="Завантажити сертифікат"/>
    <hyperlink ref="F2964" r:id="rId2953" tooltip="Завантажити сертифікат" display="Завантажити сертифікат"/>
    <hyperlink ref="F2965" r:id="rId2954" tooltip="Завантажити сертифікат" display="Завантажити сертифікат"/>
    <hyperlink ref="F2966" r:id="rId2955" tooltip="Завантажити сертифікат" display="Завантажити сертифікат"/>
    <hyperlink ref="F2967" r:id="rId2956" tooltip="Завантажити сертифікат" display="Завантажити сертифікат"/>
    <hyperlink ref="F2968" r:id="rId2957" tooltip="Завантажити сертифікат" display="Завантажити сертифікат"/>
    <hyperlink ref="F2969" r:id="rId2958" tooltip="Завантажити сертифікат" display="Завантажити сертифікат"/>
    <hyperlink ref="F2970" r:id="rId2959" tooltip="Завантажити сертифікат" display="Завантажити сертифікат"/>
    <hyperlink ref="F2971" r:id="rId2960" tooltip="Завантажити сертифікат" display="Завантажити сертифікат"/>
    <hyperlink ref="F2972" r:id="rId2961" tooltip="Завантажити сертифікат" display="Завантажити сертифікат"/>
    <hyperlink ref="F2973" r:id="rId2962" tooltip="Завантажити сертифікат" display="Завантажити сертифікат"/>
    <hyperlink ref="F2974" r:id="rId2963" tooltip="Завантажити сертифікат" display="Завантажити сертифікат"/>
    <hyperlink ref="F2975" r:id="rId2964" tooltip="Завантажити сертифікат" display="Завантажити сертифікат"/>
    <hyperlink ref="F2976" r:id="rId2965" tooltip="Завантажити сертифікат" display="Завантажити сертифікат"/>
    <hyperlink ref="F2977" r:id="rId2966" tooltip="Завантажити сертифікат" display="Завантажити сертифікат"/>
    <hyperlink ref="F2978" r:id="rId2967" tooltip="Завантажити сертифікат" display="Завантажити сертифікат"/>
    <hyperlink ref="F2979" r:id="rId2968" tooltip="Завантажити сертифікат" display="Завантажити сертифікат"/>
    <hyperlink ref="F2980" r:id="rId2969" tooltip="Завантажити сертифікат" display="Завантажити сертифікат"/>
    <hyperlink ref="F2981" r:id="rId2970" tooltip="Завантажити сертифікат" display="Завантажити сертифікат"/>
    <hyperlink ref="F2982" r:id="rId2971" tooltip="Завантажити сертифікат" display="Завантажити сертифікат"/>
    <hyperlink ref="F2983" r:id="rId2972" tooltip="Завантажити сертифікат" display="Завантажити сертифікат"/>
    <hyperlink ref="F2984" r:id="rId2973" tooltip="Завантажити сертифікат" display="Завантажити сертифікат"/>
    <hyperlink ref="F2985" r:id="rId2974" tooltip="Завантажити сертифікат" display="Завантажити сертифікат"/>
    <hyperlink ref="F2986" r:id="rId2975" tooltip="Завантажити сертифікат" display="Завантажити сертифікат"/>
    <hyperlink ref="F2987" r:id="rId2976" tooltip="Завантажити сертифікат" display="Завантажити сертифікат"/>
    <hyperlink ref="F2988" r:id="rId2977" tooltip="Завантажити сертифікат" display="Завантажити сертифікат"/>
    <hyperlink ref="F2989" r:id="rId2978" tooltip="Завантажити сертифікат" display="Завантажити сертифікат"/>
    <hyperlink ref="F2990" r:id="rId2979" tooltip="Завантажити сертифікат" display="Завантажити сертифікат"/>
    <hyperlink ref="F2991" r:id="rId2980" tooltip="Завантажити сертифікат" display="Завантажити сертифікат"/>
    <hyperlink ref="F2992" r:id="rId2981" tooltip="Завантажити сертифікат" display="Завантажити сертифікат"/>
    <hyperlink ref="F2993" r:id="rId2982" tooltip="Завантажити сертифікат" display="Завантажити сертифікат"/>
    <hyperlink ref="F2994" r:id="rId2983" tooltip="Завантажити сертифікат" display="Завантажити сертифікат"/>
    <hyperlink ref="F2995" r:id="rId2984" tooltip="Завантажити сертифікат" display="Завантажити сертифікат"/>
    <hyperlink ref="F2996" r:id="rId2985" tooltip="Завантажити сертифікат" display="Завантажити сертифікат"/>
    <hyperlink ref="F2997" r:id="rId2986" tooltip="Завантажити сертифікат" display="Завантажити сертифікат"/>
    <hyperlink ref="F2998" r:id="rId2987" tooltip="Завантажити сертифікат" display="Завантажити сертифікат"/>
    <hyperlink ref="F2999" r:id="rId2988" tooltip="Завантажити сертифікат" display="Завантажити сертифікат"/>
    <hyperlink ref="F3000" r:id="rId2989" tooltip="Завантажити сертифікат" display="Завантажити сертифікат"/>
    <hyperlink ref="F3001" r:id="rId2990" tooltip="Завантажити сертифікат" display="Завантажити сертифікат"/>
    <hyperlink ref="F3002" r:id="rId2991" tooltip="Завантажити сертифікат" display="Завантажити сертифікат"/>
    <hyperlink ref="F3003" r:id="rId2992" tooltip="Завантажити сертифікат" display="Завантажити сертифікат"/>
    <hyperlink ref="F3004" r:id="rId2993" tooltip="Завантажити сертифікат" display="Завантажити сертифікат"/>
    <hyperlink ref="F3005" r:id="rId2994" tooltip="Завантажити сертифікат" display="Завантажити сертифікат"/>
    <hyperlink ref="F3006" r:id="rId2995" tooltip="Завантажити сертифікат" display="Завантажити сертифікат"/>
    <hyperlink ref="F3007" r:id="rId2996" tooltip="Завантажити сертифікат" display="Завантажити сертифікат"/>
    <hyperlink ref="F3008" r:id="rId2997" tooltip="Завантажити сертифікат" display="Завантажити сертифікат"/>
    <hyperlink ref="F3009" r:id="rId2998" tooltip="Завантажити сертифікат" display="Завантажити сертифікат"/>
    <hyperlink ref="F3010" r:id="rId2999" tooltip="Завантажити сертифікат" display="Завантажити сертифікат"/>
    <hyperlink ref="F3011" r:id="rId3000" tooltip="Завантажити сертифікат" display="Завантажити сертифікат"/>
    <hyperlink ref="F3012" r:id="rId3001" tooltip="Завантажити сертифікат" display="Завантажити сертифікат"/>
    <hyperlink ref="F3013" r:id="rId3002" tooltip="Завантажити сертифікат" display="Завантажити сертифікат"/>
    <hyperlink ref="F3014" r:id="rId3003" tooltip="Завантажити сертифікат" display="Завантажити сертифікат"/>
    <hyperlink ref="F3015" r:id="rId3004" tooltip="Завантажити сертифікат" display="Завантажити сертифікат"/>
    <hyperlink ref="F3016" r:id="rId3005" tooltip="Завантажити сертифікат" display="Завантажити сертифікат"/>
    <hyperlink ref="F3017" r:id="rId3006" tooltip="Завантажити сертифікат" display="Завантажити сертифікат"/>
    <hyperlink ref="F3018" r:id="rId3007" tooltip="Завантажити сертифікат" display="Завантажити сертифікат"/>
    <hyperlink ref="F3019" r:id="rId3008" tooltip="Завантажити сертифікат" display="Завантажити сертифікат"/>
    <hyperlink ref="F3020" r:id="rId3009" tooltip="Завантажити сертифікат" display="Завантажити сертифікат"/>
    <hyperlink ref="F3021" r:id="rId3010" tooltip="Завантажити сертифікат" display="Завантажити сертифікат"/>
    <hyperlink ref="F3022" r:id="rId3011" tooltip="Завантажити сертифікат" display="Завантажити сертифікат"/>
    <hyperlink ref="F3023" r:id="rId3012" tooltip="Завантажити сертифікат" display="Завантажити сертифікат"/>
    <hyperlink ref="F3024" r:id="rId3013" tooltip="Завантажити сертифікат" display="Завантажити сертифікат"/>
    <hyperlink ref="F3025" r:id="rId3014" tooltip="Завантажити сертифікат" display="Завантажити сертифікат"/>
    <hyperlink ref="F3026" r:id="rId3015" tooltip="Завантажити сертифікат" display="Завантажити сертифікат"/>
    <hyperlink ref="F3027" r:id="rId3016" tooltip="Завантажити сертифікат" display="Завантажити сертифікат"/>
    <hyperlink ref="F3028" r:id="rId3017" tooltip="Завантажити сертифікат" display="Завантажити сертифікат"/>
    <hyperlink ref="F3029" r:id="rId3018" tooltip="Завантажити сертифікат" display="Завантажити сертифікат"/>
    <hyperlink ref="F3030" r:id="rId3019" tooltip="Завантажити сертифікат" display="Завантажити сертифікат"/>
    <hyperlink ref="F3031" r:id="rId3020" tooltip="Завантажити сертифікат" display="Завантажити сертифікат"/>
    <hyperlink ref="F3032" r:id="rId3021" tooltip="Завантажити сертифікат" display="Завантажити сертифікат"/>
    <hyperlink ref="F3033" r:id="rId3022" tooltip="Завантажити сертифікат" display="Завантажити сертифікат"/>
    <hyperlink ref="F3034" r:id="rId3023" tooltip="Завантажити сертифікат" display="Завантажити сертифікат"/>
    <hyperlink ref="F3035" r:id="rId3024" tooltip="Завантажити сертифікат" display="Завантажити сертифікат"/>
    <hyperlink ref="F3036" r:id="rId3025" tooltip="Завантажити сертифікат" display="Завантажити сертифікат"/>
    <hyperlink ref="F3037" r:id="rId3026" tooltip="Завантажити сертифікат" display="Завантажити сертифікат"/>
    <hyperlink ref="F3038" r:id="rId3027" tooltip="Завантажити сертифікат" display="Завантажити сертифікат"/>
    <hyperlink ref="F3039" r:id="rId3028" tooltip="Завантажити сертифікат" display="Завантажити сертифікат"/>
    <hyperlink ref="F3040" r:id="rId3029" tooltip="Завантажити сертифікат" display="Завантажити сертифікат"/>
    <hyperlink ref="F3041" r:id="rId3030" tooltip="Завантажити сертифікат" display="Завантажити сертифікат"/>
    <hyperlink ref="F3042" r:id="rId3031" tooltip="Завантажити сертифікат" display="Завантажити сертифікат"/>
    <hyperlink ref="F3043" r:id="rId3032" tooltip="Завантажити сертифікат" display="Завантажити сертифікат"/>
    <hyperlink ref="F3044" r:id="rId3033" tooltip="Завантажити сертифікат" display="Завантажити сертифікат"/>
    <hyperlink ref="F3045" r:id="rId3034" tooltip="Завантажити сертифікат" display="Завантажити сертифікат"/>
    <hyperlink ref="F3046" r:id="rId3035" tooltip="Завантажити сертифікат" display="Завантажити сертифікат"/>
    <hyperlink ref="F3047" r:id="rId3036" tooltip="Завантажити сертифікат" display="Завантажити сертифікат"/>
    <hyperlink ref="F3048" r:id="rId3037" tooltip="Завантажити сертифікат" display="Завантажити сертифікат"/>
    <hyperlink ref="F3049" r:id="rId3038" tooltip="Завантажити сертифікат" display="Завантажити сертифікат"/>
    <hyperlink ref="F3050" r:id="rId3039" tooltip="Завантажити сертифікат" display="Завантажити сертифікат"/>
    <hyperlink ref="F3051" r:id="rId3040" tooltip="Завантажити сертифікат" display="Завантажити сертифікат"/>
    <hyperlink ref="F3052" r:id="rId3041" tooltip="Завантажити сертифікат" display="Завантажити сертифікат"/>
    <hyperlink ref="F3053" r:id="rId3042" tooltip="Завантажити сертифікат" display="Завантажити сертифікат"/>
    <hyperlink ref="F3054" r:id="rId3043" tooltip="Завантажити сертифікат" display="Завантажити сертифікат"/>
    <hyperlink ref="F3055" r:id="rId3044" tooltip="Завантажити сертифікат" display="Завантажити сертифікат"/>
    <hyperlink ref="F3056" r:id="rId3045" tooltip="Завантажити сертифікат" display="Завантажити сертифікат"/>
    <hyperlink ref="F3057" r:id="rId3046" tooltip="Завантажити сертифікат" display="Завантажити сертифікат"/>
    <hyperlink ref="F3058" r:id="rId3047" tooltip="Завантажити сертифікат" display="Завантажити сертифікат"/>
    <hyperlink ref="F3059" r:id="rId3048" tooltip="Завантажити сертифікат" display="Завантажити сертифікат"/>
    <hyperlink ref="F3060" r:id="rId3049" tooltip="Завантажити сертифікат" display="Завантажити сертифікат"/>
    <hyperlink ref="F3061" r:id="rId3050" tooltip="Завантажити сертифікат" display="Завантажити сертифікат"/>
    <hyperlink ref="F3062" r:id="rId3051" tooltip="Завантажити сертифікат" display="Завантажити сертифікат"/>
    <hyperlink ref="F3063" r:id="rId3052" tooltip="Завантажити сертифікат" display="Завантажити сертифікат"/>
    <hyperlink ref="F3064" r:id="rId3053" tooltip="Завантажити сертифікат" display="Завантажити сертифікат"/>
    <hyperlink ref="F3065" r:id="rId3054" tooltip="Завантажити сертифікат" display="Завантажити сертифікат"/>
    <hyperlink ref="F3066" r:id="rId3055" tooltip="Завантажити сертифікат" display="Завантажити сертифікат"/>
    <hyperlink ref="F3067" r:id="rId3056" tooltip="Завантажити сертифікат" display="Завантажити сертифікат"/>
    <hyperlink ref="F3068" r:id="rId3057" tooltip="Завантажити сертифікат" display="Завантажити сертифікат"/>
    <hyperlink ref="F3069" r:id="rId3058" tooltip="Завантажити сертифікат" display="Завантажити сертифікат"/>
    <hyperlink ref="F3070" r:id="rId3059" tooltip="Завантажити сертифікат" display="Завантажити сертифікат"/>
    <hyperlink ref="F3071" r:id="rId3060" tooltip="Завантажити сертифікат" display="Завантажити сертифікат"/>
    <hyperlink ref="F3072" r:id="rId3061" tooltip="Завантажити сертифікат" display="Завантажити сертифікат"/>
    <hyperlink ref="F3073" r:id="rId3062" tooltip="Завантажити сертифікат" display="Завантажити сертифікат"/>
    <hyperlink ref="F3074" r:id="rId3063" tooltip="Завантажити сертифікат" display="Завантажити сертифікат"/>
    <hyperlink ref="F3075" r:id="rId3064" tooltip="Завантажити сертифікат" display="Завантажити сертифікат"/>
    <hyperlink ref="F3076" r:id="rId3065" tooltip="Завантажити сертифікат" display="Завантажити сертифікат"/>
    <hyperlink ref="F3077" r:id="rId3066" tooltip="Завантажити сертифікат" display="Завантажити сертифікат"/>
    <hyperlink ref="F3078" r:id="rId3067" tooltip="Завантажити сертифікат" display="Завантажити сертифікат"/>
    <hyperlink ref="F3079" r:id="rId3068" tooltip="Завантажити сертифікат" display="Завантажити сертифікат"/>
    <hyperlink ref="F3080" r:id="rId3069" tooltip="Завантажити сертифікат" display="Завантажити сертифікат"/>
    <hyperlink ref="F3081" r:id="rId3070" tooltip="Завантажити сертифікат" display="Завантажити сертифікат"/>
    <hyperlink ref="F3082" r:id="rId3071" tooltip="Завантажити сертифікат" display="Завантажити сертифікат"/>
    <hyperlink ref="F3083" r:id="rId3072" tooltip="Завантажити сертифікат" display="Завантажити сертифікат"/>
    <hyperlink ref="F3084" r:id="rId3073" tooltip="Завантажити сертифікат" display="Завантажити сертифікат"/>
    <hyperlink ref="F3085" r:id="rId3074" tooltip="Завантажити сертифікат" display="Завантажити сертифікат"/>
    <hyperlink ref="F3086" r:id="rId3075" tooltip="Завантажити сертифікат" display="Завантажити сертифікат"/>
    <hyperlink ref="F3087" r:id="rId3076" tooltip="Завантажити сертифікат" display="Завантажити сертифікат"/>
    <hyperlink ref="F3088" r:id="rId3077" tooltip="Завантажити сертифікат" display="Завантажити сертифікат"/>
    <hyperlink ref="F3089" r:id="rId3078" tooltip="Завантажити сертифікат" display="Завантажити сертифікат"/>
    <hyperlink ref="F3090" r:id="rId3079" tooltip="Завантажити сертифікат" display="Завантажити сертифікат"/>
    <hyperlink ref="F3091" r:id="rId3080" tooltip="Завантажити сертифікат" display="Завантажити сертифікат"/>
    <hyperlink ref="F3092" r:id="rId3081" tooltip="Завантажити сертифікат" display="Завантажити сертифікат"/>
    <hyperlink ref="F3093" r:id="rId3082" tooltip="Завантажити сертифікат" display="Завантажити сертифікат"/>
    <hyperlink ref="F3094" r:id="rId3083" tooltip="Завантажити сертифікат" display="Завантажити сертифікат"/>
    <hyperlink ref="F3095" r:id="rId3084" tooltip="Завантажити сертифікат" display="Завантажити сертифікат"/>
    <hyperlink ref="F3096" r:id="rId3085" tooltip="Завантажити сертифікат" display="Завантажити сертифікат"/>
    <hyperlink ref="F3097" r:id="rId3086" tooltip="Завантажити сертифікат" display="Завантажити сертифікат"/>
    <hyperlink ref="F3098" r:id="rId3087" tooltip="Завантажити сертифікат" display="Завантажити сертифікат"/>
    <hyperlink ref="F3099" r:id="rId3088" tooltip="Завантажити сертифікат" display="Завантажити сертифікат"/>
    <hyperlink ref="F3100" r:id="rId3089" tooltip="Завантажити сертифікат" display="Завантажити сертифікат"/>
    <hyperlink ref="F3101" r:id="rId3090" tooltip="Завантажити сертифікат" display="Завантажити сертифікат"/>
    <hyperlink ref="F3102" r:id="rId3091" tooltip="Завантажити сертифікат" display="Завантажити сертифікат"/>
    <hyperlink ref="F3103" r:id="rId3092" tooltip="Завантажити сертифікат" display="Завантажити сертифікат"/>
    <hyperlink ref="F3104" r:id="rId3093" tooltip="Завантажити сертифікат" display="Завантажити сертифікат"/>
    <hyperlink ref="F3105" r:id="rId3094" tooltip="Завантажити сертифікат" display="Завантажити сертифікат"/>
    <hyperlink ref="F3106" r:id="rId3095" tooltip="Завантажити сертифікат" display="Завантажити сертифікат"/>
    <hyperlink ref="F3107" r:id="rId3096" tooltip="Завантажити сертифікат" display="Завантажити сертифікат"/>
    <hyperlink ref="F3108" r:id="rId3097" tooltip="Завантажити сертифікат" display="Завантажити сертифікат"/>
    <hyperlink ref="F3109" r:id="rId3098" tooltip="Завантажити сертифікат" display="Завантажити сертифікат"/>
    <hyperlink ref="F3110" r:id="rId3099" tooltip="Завантажити сертифікат" display="Завантажити сертифікат"/>
    <hyperlink ref="F3111" r:id="rId3100" tooltip="Завантажити сертифікат" display="Завантажити сертифікат"/>
    <hyperlink ref="F3112" r:id="rId3101" tooltip="Завантажити сертифікат" display="Завантажити сертифікат"/>
    <hyperlink ref="F3113" r:id="rId3102" tooltip="Завантажити сертифікат" display="Завантажити сертифікат"/>
    <hyperlink ref="F3114" r:id="rId3103" tooltip="Завантажити сертифікат" display="Завантажити сертифікат"/>
    <hyperlink ref="F3115" r:id="rId3104" tooltip="Завантажити сертифікат" display="Завантажити сертифікат"/>
    <hyperlink ref="F3116" r:id="rId3105" tooltip="Завантажити сертифікат" display="Завантажити сертифікат"/>
    <hyperlink ref="F3117" r:id="rId3106" tooltip="Завантажити сертифікат" display="Завантажити сертифікат"/>
    <hyperlink ref="F3118" r:id="rId3107" tooltip="Завантажити сертифікат" display="Завантажити сертифікат"/>
    <hyperlink ref="F3119" r:id="rId3108" tooltip="Завантажити сертифікат" display="Завантажити сертифікат"/>
    <hyperlink ref="F3120" r:id="rId3109" tooltip="Завантажити сертифікат" display="Завантажити сертифікат"/>
    <hyperlink ref="F3121" r:id="rId3110" tooltip="Завантажити сертифікат" display="Завантажити сертифікат"/>
    <hyperlink ref="F3122" r:id="rId3111" tooltip="Завантажити сертифікат" display="Завантажити сертифікат"/>
    <hyperlink ref="F3123" r:id="rId3112" tooltip="Завантажити сертифікат" display="Завантажити сертифікат"/>
    <hyperlink ref="F3124" r:id="rId3113" tooltip="Завантажити сертифікат" display="Завантажити сертифікат"/>
    <hyperlink ref="F3125" r:id="rId3114" tooltip="Завантажити сертифікат" display="Завантажити сертифікат"/>
    <hyperlink ref="F3126" r:id="rId3115" tooltip="Завантажити сертифікат" display="Завантажити сертифікат"/>
    <hyperlink ref="F3127" r:id="rId3116" tooltip="Завантажити сертифікат" display="Завантажити сертифікат"/>
    <hyperlink ref="F3128" r:id="rId3117" tooltip="Завантажити сертифікат" display="Завантажити сертифікат"/>
    <hyperlink ref="F3129" r:id="rId3118" tooltip="Завантажити сертифікат" display="Завантажити сертифікат"/>
    <hyperlink ref="F3130" r:id="rId3119" tooltip="Завантажити сертифікат" display="Завантажити сертифікат"/>
    <hyperlink ref="F3131" r:id="rId3120" tooltip="Завантажити сертифікат" display="Завантажити сертифікат"/>
    <hyperlink ref="F3132" r:id="rId3121" tooltip="Завантажити сертифікат" display="Завантажити сертифікат"/>
    <hyperlink ref="F3133" r:id="rId3122" tooltip="Завантажити сертифікат" display="Завантажити сертифікат"/>
    <hyperlink ref="F3134" r:id="rId3123" tooltip="Завантажити сертифікат" display="Завантажити сертифікат"/>
    <hyperlink ref="F3135" r:id="rId3124" tooltip="Завантажити сертифікат" display="Завантажити сертифікат"/>
    <hyperlink ref="F3136" r:id="rId3125" tooltip="Завантажити сертифікат" display="Завантажити сертифікат"/>
    <hyperlink ref="F3137" r:id="rId3126" tooltip="Завантажити сертифікат" display="Завантажити сертифікат"/>
    <hyperlink ref="F3138" r:id="rId3127" tooltip="Завантажити сертифікат" display="Завантажити сертифікат"/>
    <hyperlink ref="F3139" r:id="rId3128" tooltip="Завантажити сертифікат" display="Завантажити сертифікат"/>
    <hyperlink ref="F3140" r:id="rId3129" tooltip="Завантажити сертифікат" display="Завантажити сертифікат"/>
    <hyperlink ref="F3141" r:id="rId3130" tooltip="Завантажити сертифікат" display="Завантажити сертифікат"/>
    <hyperlink ref="F3142" r:id="rId3131" tooltip="Завантажити сертифікат" display="Завантажити сертифікат"/>
    <hyperlink ref="F3143" r:id="rId3132" tooltip="Завантажити сертифікат" display="Завантажити сертифікат"/>
    <hyperlink ref="F3144" r:id="rId3133" tooltip="Завантажити сертифікат" display="Завантажити сертифікат"/>
    <hyperlink ref="F3145" r:id="rId3134" tooltip="Завантажити сертифікат" display="Завантажити сертифікат"/>
    <hyperlink ref="F3146" r:id="rId3135" tooltip="Завантажити сертифікат" display="Завантажити сертифікат"/>
    <hyperlink ref="F3147" r:id="rId3136" tooltip="Завантажити сертифікат" display="Завантажити сертифікат"/>
    <hyperlink ref="F3148" r:id="rId3137" tooltip="Завантажити сертифікат" display="Завантажити сертифікат"/>
    <hyperlink ref="F3149" r:id="rId3138" tooltip="Завантажити сертифікат" display="Завантажити сертифікат"/>
    <hyperlink ref="F3150" r:id="rId3139" tooltip="Завантажити сертифікат" display="Завантажити сертифікат"/>
    <hyperlink ref="F3151" r:id="rId3140" tooltip="Завантажити сертифікат" display="Завантажити сертифікат"/>
    <hyperlink ref="F3152" r:id="rId3141" tooltip="Завантажити сертифікат" display="Завантажити сертифікат"/>
    <hyperlink ref="F3153" r:id="rId3142" tooltip="Завантажити сертифікат" display="Завантажити сертифікат"/>
    <hyperlink ref="F3154" r:id="rId3143" tooltip="Завантажити сертифікат" display="Завантажити сертифікат"/>
    <hyperlink ref="F3155" r:id="rId3144" tooltip="Завантажити сертифікат" display="Завантажити сертифікат"/>
    <hyperlink ref="F3156" r:id="rId3145" tooltip="Завантажити сертифікат" display="Завантажити сертифікат"/>
    <hyperlink ref="F3157" r:id="rId3146" tooltip="Завантажити сертифікат" display="Завантажити сертифікат"/>
    <hyperlink ref="F3158" r:id="rId3147" tooltip="Завантажити сертифікат" display="Завантажити сертифікат"/>
    <hyperlink ref="F3159" r:id="rId3148" tooltip="Завантажити сертифікат" display="Завантажити сертифікат"/>
    <hyperlink ref="F3160" r:id="rId3149" tooltip="Завантажити сертифікат" display="Завантажити сертифікат"/>
    <hyperlink ref="F3161" r:id="rId3150" tooltip="Завантажити сертифікат" display="Завантажити сертифікат"/>
    <hyperlink ref="F3162" r:id="rId3151" tooltip="Завантажити сертифікат" display="Завантажити сертифікат"/>
    <hyperlink ref="F3163" r:id="rId3152" tooltip="Завантажити сертифікат" display="Завантажити сертифікат"/>
    <hyperlink ref="F3164" r:id="rId3153" tooltip="Завантажити сертифікат" display="Завантажити сертифікат"/>
    <hyperlink ref="F3165" r:id="rId3154" tooltip="Завантажити сертифікат" display="Завантажити сертифікат"/>
    <hyperlink ref="F3166" r:id="rId3155" tooltip="Завантажити сертифікат" display="Завантажити сертифікат"/>
    <hyperlink ref="F3167" r:id="rId3156" tooltip="Завантажити сертифікат" display="Завантажити сертифікат"/>
    <hyperlink ref="F3168" r:id="rId3157" tooltip="Завантажити сертифікат" display="Завантажити сертифікат"/>
    <hyperlink ref="F3169" r:id="rId3158" tooltip="Завантажити сертифікат" display="Завантажити сертифікат"/>
    <hyperlink ref="F3170" r:id="rId3159" tooltip="Завантажити сертифікат" display="Завантажити сертифікат"/>
    <hyperlink ref="F3171" r:id="rId3160" tooltip="Завантажити сертифікат" display="Завантажити сертифікат"/>
    <hyperlink ref="F3172" r:id="rId3161" tooltip="Завантажити сертифікат" display="Завантажити сертифікат"/>
    <hyperlink ref="F3173" r:id="rId3162" tooltip="Завантажити сертифікат" display="Завантажити сертифікат"/>
    <hyperlink ref="F3174" r:id="rId3163" tooltip="Завантажити сертифікат" display="Завантажити сертифікат"/>
    <hyperlink ref="F3175" r:id="rId3164" tooltip="Завантажити сертифікат" display="Завантажити сертифікат"/>
    <hyperlink ref="F3176" r:id="rId3165" tooltip="Завантажити сертифікат" display="Завантажити сертифікат"/>
    <hyperlink ref="F3177" r:id="rId3166" tooltip="Завантажити сертифікат" display="Завантажити сертифікат"/>
    <hyperlink ref="F3178" r:id="rId3167" tooltip="Завантажити сертифікат" display="Завантажити сертифікат"/>
    <hyperlink ref="F3179" r:id="rId3168" tooltip="Завантажити сертифікат" display="Завантажити сертифікат"/>
    <hyperlink ref="F3180" r:id="rId3169" tooltip="Завантажити сертифікат" display="Завантажити сертифікат"/>
    <hyperlink ref="F3181" r:id="rId3170" tooltip="Завантажити сертифікат" display="Завантажити сертифікат"/>
    <hyperlink ref="F3182" r:id="rId3171" tooltip="Завантажити сертифікат" display="Завантажити сертифікат"/>
    <hyperlink ref="F3183" r:id="rId3172" tooltip="Завантажити сертифікат" display="Завантажити сертифікат"/>
    <hyperlink ref="F3184" r:id="rId3173" tooltip="Завантажити сертифікат" display="Завантажити сертифікат"/>
    <hyperlink ref="F3185" r:id="rId3174" tooltip="Завантажити сертифікат" display="Завантажити сертифікат"/>
    <hyperlink ref="F3186" r:id="rId3175" tooltip="Завантажити сертифікат" display="Завантажити сертифікат"/>
    <hyperlink ref="F3187" r:id="rId3176" tooltip="Завантажити сертифікат" display="Завантажити сертифікат"/>
    <hyperlink ref="F3188" r:id="rId3177" tooltip="Завантажити сертифікат" display="Завантажити сертифікат"/>
    <hyperlink ref="F3189" r:id="rId3178" tooltip="Завантажити сертифікат" display="Завантажити сертифікат"/>
    <hyperlink ref="F3190" r:id="rId3179" tooltip="Завантажити сертифікат" display="Завантажити сертифікат"/>
    <hyperlink ref="F3191" r:id="rId3180" tooltip="Завантажити сертифікат" display="Завантажити сертифікат"/>
    <hyperlink ref="F3192" r:id="rId3181" tooltip="Завантажити сертифікат" display="Завантажити сертифікат"/>
    <hyperlink ref="F3193" r:id="rId3182" tooltip="Завантажити сертифікат" display="Завантажити сертифікат"/>
    <hyperlink ref="F3194" r:id="rId3183" tooltip="Завантажити сертифікат" display="Завантажити сертифікат"/>
    <hyperlink ref="F3195" r:id="rId3184" tooltip="Завантажити сертифікат" display="Завантажити сертифікат"/>
    <hyperlink ref="F3196" r:id="rId3185" tooltip="Завантажити сертифікат" display="Завантажити сертифікат"/>
    <hyperlink ref="F3197" r:id="rId3186" tooltip="Завантажити сертифікат" display="Завантажити сертифікат"/>
    <hyperlink ref="F3198" r:id="rId3187" tooltip="Завантажити сертифікат" display="Завантажити сертифікат"/>
    <hyperlink ref="F3199" r:id="rId3188" tooltip="Завантажити сертифікат" display="Завантажити сертифікат"/>
    <hyperlink ref="F3200" r:id="rId3189" tooltip="Завантажити сертифікат" display="Завантажити сертифікат"/>
    <hyperlink ref="F3201" r:id="rId3190" tooltip="Завантажити сертифікат" display="Завантажити сертифікат"/>
    <hyperlink ref="F3202" r:id="rId3191" tooltip="Завантажити сертифікат" display="Завантажити сертифікат"/>
    <hyperlink ref="F3203" r:id="rId3192" tooltip="Завантажити сертифікат" display="Завантажити сертифікат"/>
    <hyperlink ref="F3204" r:id="rId3193" tooltip="Завантажити сертифікат" display="Завантажити сертифікат"/>
    <hyperlink ref="F3205" r:id="rId3194" tooltip="Завантажити сертифікат" display="Завантажити сертифікат"/>
    <hyperlink ref="F3206" r:id="rId3195" tooltip="Завантажити сертифікат" display="Завантажити сертифікат"/>
    <hyperlink ref="F3207" r:id="rId3196" tooltip="Завантажити сертифікат" display="Завантажити сертифікат"/>
    <hyperlink ref="F3208" r:id="rId3197" tooltip="Завантажити сертифікат" display="Завантажити сертифікат"/>
    <hyperlink ref="F3209" r:id="rId3198" tooltip="Завантажити сертифікат" display="Завантажити сертифікат"/>
    <hyperlink ref="F3210" r:id="rId3199" tooltip="Завантажити сертифікат" display="Завантажити сертифікат"/>
    <hyperlink ref="F3211" r:id="rId3200" tooltip="Завантажити сертифікат" display="Завантажити сертифікат"/>
    <hyperlink ref="F3212" r:id="rId3201" tooltip="Завантажити сертифікат" display="Завантажити сертифікат"/>
    <hyperlink ref="F3213" r:id="rId3202" tooltip="Завантажити сертифікат" display="Завантажити сертифікат"/>
    <hyperlink ref="F3214" r:id="rId3203" tooltip="Завантажити сертифікат" display="Завантажити сертифікат"/>
    <hyperlink ref="F3215" r:id="rId3204" tooltip="Завантажити сертифікат" display="Завантажити сертифікат"/>
    <hyperlink ref="F3216" r:id="rId3205" tooltip="Завантажити сертифікат" display="Завантажити сертифікат"/>
    <hyperlink ref="F3217" r:id="rId3206" tooltip="Завантажити сертифікат" display="Завантажити сертифікат"/>
    <hyperlink ref="F3218" r:id="rId3207" tooltip="Завантажити сертифікат" display="Завантажити сертифікат"/>
    <hyperlink ref="F3219" r:id="rId3208" tooltip="Завантажити сертифікат" display="Завантажити сертифікат"/>
    <hyperlink ref="F3220" r:id="rId3209" tooltip="Завантажити сертифікат" display="Завантажити сертифікат"/>
    <hyperlink ref="F3221" r:id="rId3210" tooltip="Завантажити сертифікат" display="Завантажити сертифікат"/>
    <hyperlink ref="F3222" r:id="rId3211" tooltip="Завантажити сертифікат" display="Завантажити сертифікат"/>
    <hyperlink ref="F3223" r:id="rId3212" tooltip="Завантажити сертифікат" display="Завантажити сертифікат"/>
    <hyperlink ref="F3224" r:id="rId3213" tooltip="Завантажити сертифікат" display="Завантажити сертифікат"/>
    <hyperlink ref="F3225" r:id="rId3214" tooltip="Завантажити сертифікат" display="Завантажити сертифікат"/>
    <hyperlink ref="F3226" r:id="rId3215" tooltip="Завантажити сертифікат" display="Завантажити сертифікат"/>
    <hyperlink ref="F3227" r:id="rId3216" tooltip="Завантажити сертифікат" display="Завантажити сертифікат"/>
    <hyperlink ref="F3228" r:id="rId3217" tooltip="Завантажити сертифікат" display="Завантажити сертифікат"/>
    <hyperlink ref="F3229" r:id="rId3218" tooltip="Завантажити сертифікат" display="Завантажити сертифікат"/>
    <hyperlink ref="F3230" r:id="rId3219" tooltip="Завантажити сертифікат" display="Завантажити сертифікат"/>
    <hyperlink ref="F3231" r:id="rId3220" tooltip="Завантажити сертифікат" display="Завантажити сертифікат"/>
    <hyperlink ref="F3232" r:id="rId3221" tooltip="Завантажити сертифікат" display="Завантажити сертифікат"/>
    <hyperlink ref="F3233" r:id="rId3222" tooltip="Завантажити сертифікат" display="Завантажити сертифікат"/>
    <hyperlink ref="F3234" r:id="rId3223" tooltip="Завантажити сертифікат" display="Завантажити сертифікат"/>
    <hyperlink ref="F3235" r:id="rId3224" tooltip="Завантажити сертифікат" display="Завантажити сертифікат"/>
    <hyperlink ref="F3236" r:id="rId3225" tooltip="Завантажити сертифікат" display="Завантажити сертифікат"/>
    <hyperlink ref="F3237" r:id="rId3226" tooltip="Завантажити сертифікат" display="Завантажити сертифікат"/>
    <hyperlink ref="F3238" r:id="rId3227" tooltip="Завантажити сертифікат" display="Завантажити сертифікат"/>
    <hyperlink ref="F3239" r:id="rId3228" tooltip="Завантажити сертифікат" display="Завантажити сертифікат"/>
    <hyperlink ref="F3240" r:id="rId3229" tooltip="Завантажити сертифікат" display="Завантажити сертифікат"/>
    <hyperlink ref="F3241" r:id="rId3230" tooltip="Завантажити сертифікат" display="Завантажити сертифікат"/>
    <hyperlink ref="F3242" r:id="rId3231" tooltip="Завантажити сертифікат" display="Завантажити сертифікат"/>
    <hyperlink ref="F3243" r:id="rId3232" tooltip="Завантажити сертифікат" display="Завантажити сертифікат"/>
    <hyperlink ref="F3244" r:id="rId3233" tooltip="Завантажити сертифікат" display="Завантажити сертифікат"/>
    <hyperlink ref="F3245" r:id="rId3234" tooltip="Завантажити сертифікат" display="Завантажити сертифікат"/>
    <hyperlink ref="F3246" r:id="rId3235" tooltip="Завантажити сертифікат" display="Завантажити сертифікат"/>
    <hyperlink ref="F3247" r:id="rId3236" tooltip="Завантажити сертифікат" display="Завантажити сертифікат"/>
    <hyperlink ref="F3248" r:id="rId3237" tooltip="Завантажити сертифікат" display="Завантажити сертифікат"/>
    <hyperlink ref="F3249" r:id="rId3238" tooltip="Завантажити сертифікат" display="Завантажити сертифікат"/>
    <hyperlink ref="F3250" r:id="rId3239" tooltip="Завантажити сертифікат" display="Завантажити сертифікат"/>
    <hyperlink ref="F3251" r:id="rId3240" tooltip="Завантажити сертифікат" display="Завантажити сертифікат"/>
    <hyperlink ref="F3252" r:id="rId3241" tooltip="Завантажити сертифікат" display="Завантажити сертифікат"/>
    <hyperlink ref="F3253" r:id="rId3242" tooltip="Завантажити сертифікат" display="Завантажити сертифікат"/>
    <hyperlink ref="F3254" r:id="rId3243" tooltip="Завантажити сертифікат" display="Завантажити сертифікат"/>
    <hyperlink ref="F3255" r:id="rId3244" tooltip="Завантажити сертифікат" display="Завантажити сертифікат"/>
    <hyperlink ref="F3256" r:id="rId3245" tooltip="Завантажити сертифікат" display="Завантажити сертифікат"/>
    <hyperlink ref="F3257" r:id="rId3246" tooltip="Завантажити сертифікат" display="Завантажити сертифікат"/>
    <hyperlink ref="F3258" r:id="rId3247" tooltip="Завантажити сертифікат" display="Завантажити сертифікат"/>
    <hyperlink ref="F3259" r:id="rId3248" tooltip="Завантажити сертифікат" display="Завантажити сертифікат"/>
    <hyperlink ref="F3260" r:id="rId3249" tooltip="Завантажити сертифікат" display="Завантажити сертифікат"/>
    <hyperlink ref="F3261" r:id="rId3250" tooltip="Завантажити сертифікат" display="Завантажити сертифікат"/>
    <hyperlink ref="F3262" r:id="rId3251" tooltip="Завантажити сертифікат" display="Завантажити сертифікат"/>
    <hyperlink ref="F3263" r:id="rId3252" tooltip="Завантажити сертифікат" display="Завантажити сертифікат"/>
    <hyperlink ref="F3264" r:id="rId3253" tooltip="Завантажити сертифікат" display="Завантажити сертифікат"/>
    <hyperlink ref="F3265" r:id="rId3254" tooltip="Завантажити сертифікат" display="Завантажити сертифікат"/>
    <hyperlink ref="F3266" r:id="rId3255" tooltip="Завантажити сертифікат" display="Завантажити сертифікат"/>
    <hyperlink ref="F3267" r:id="rId3256" tooltip="Завантажити сертифікат" display="Завантажити сертифікат"/>
    <hyperlink ref="F3268" r:id="rId3257" tooltip="Завантажити сертифікат" display="Завантажити сертифікат"/>
    <hyperlink ref="F3269" r:id="rId3258" tooltip="Завантажити сертифікат" display="Завантажити сертифікат"/>
    <hyperlink ref="F3270" r:id="rId3259" tooltip="Завантажити сертифікат" display="Завантажити сертифікат"/>
    <hyperlink ref="F3271" r:id="rId3260" tooltip="Завантажити сертифікат" display="Завантажити сертифікат"/>
    <hyperlink ref="F3272" r:id="rId3261" tooltip="Завантажити сертифікат" display="Завантажити сертифікат"/>
    <hyperlink ref="F3273" r:id="rId3262" tooltip="Завантажити сертифікат" display="Завантажити сертифікат"/>
    <hyperlink ref="F3274" r:id="rId3263" tooltip="Завантажити сертифікат" display="Завантажити сертифікат"/>
    <hyperlink ref="F3275" r:id="rId3264" tooltip="Завантажити сертифікат" display="Завантажити сертифікат"/>
    <hyperlink ref="F3276" r:id="rId3265" tooltip="Завантажити сертифікат" display="Завантажити сертифікат"/>
    <hyperlink ref="F3277" r:id="rId3266" tooltip="Завантажити сертифікат" display="Завантажити сертифікат"/>
    <hyperlink ref="F3278" r:id="rId3267" tooltip="Завантажити сертифікат" display="Завантажити сертифікат"/>
    <hyperlink ref="F3279" r:id="rId3268" tooltip="Завантажити сертифікат" display="Завантажити сертифікат"/>
    <hyperlink ref="F3280" r:id="rId3269" tooltip="Завантажити сертифікат" display="Завантажити сертифікат"/>
    <hyperlink ref="F3281" r:id="rId3270" tooltip="Завантажити сертифікат" display="Завантажити сертифікат"/>
    <hyperlink ref="F3282" r:id="rId3271" tooltip="Завантажити сертифікат" display="Завантажити сертифікат"/>
    <hyperlink ref="F3283" r:id="rId3272" tooltip="Завантажити сертифікат" display="Завантажити сертифікат"/>
    <hyperlink ref="F3284" r:id="rId3273" tooltip="Завантажити сертифікат" display="Завантажити сертифікат"/>
    <hyperlink ref="F3285" r:id="rId3274" tooltip="Завантажити сертифікат" display="Завантажити сертифікат"/>
    <hyperlink ref="F3286" r:id="rId3275" tooltip="Завантажити сертифікат" display="Завантажити сертифікат"/>
    <hyperlink ref="F3287" r:id="rId3276" tooltip="Завантажити сертифікат" display="Завантажити сертифікат"/>
    <hyperlink ref="F3288" r:id="rId3277" tooltip="Завантажити сертифікат" display="Завантажити сертифікат"/>
    <hyperlink ref="F3289" r:id="rId3278" tooltip="Завантажити сертифікат" display="Завантажити сертифікат"/>
    <hyperlink ref="F3290" r:id="rId3279" tooltip="Завантажити сертифікат" display="Завантажити сертифікат"/>
    <hyperlink ref="F3291" r:id="rId3280" tooltip="Завантажити сертифікат" display="Завантажити сертифікат"/>
    <hyperlink ref="F3292" r:id="rId3281" tooltip="Завантажити сертифікат" display="Завантажити сертифікат"/>
    <hyperlink ref="F3293" r:id="rId3282" tooltip="Завантажити сертифікат" display="Завантажити сертифікат"/>
    <hyperlink ref="F3294" r:id="rId3283" tooltip="Завантажити сертифікат" display="Завантажити сертифікат"/>
    <hyperlink ref="F3295" r:id="rId3284" tooltip="Завантажити сертифікат" display="Завантажити сертифікат"/>
    <hyperlink ref="F3296" r:id="rId3285" tooltip="Завантажити сертифікат" display="Завантажити сертифікат"/>
    <hyperlink ref="F3297" r:id="rId3286" tooltip="Завантажити сертифікат" display="Завантажити сертифікат"/>
    <hyperlink ref="F3298" r:id="rId3287" tooltip="Завантажити сертифікат" display="Завантажити сертифікат"/>
    <hyperlink ref="F3299" r:id="rId3288" tooltip="Завантажити сертифікат" display="Завантажити сертифікат"/>
    <hyperlink ref="F3300" r:id="rId3289" tooltip="Завантажити сертифікат" display="Завантажити сертифікат"/>
    <hyperlink ref="F3301" r:id="rId3290" tooltip="Завантажити сертифікат" display="Завантажити сертифікат"/>
    <hyperlink ref="F3302" r:id="rId3291" tooltip="Завантажити сертифікат" display="Завантажити сертифікат"/>
    <hyperlink ref="F3303" r:id="rId3292" tooltip="Завантажити сертифікат" display="Завантажити сертифікат"/>
    <hyperlink ref="F3304" r:id="rId3293" tooltip="Завантажити сертифікат" display="Завантажити сертифікат"/>
    <hyperlink ref="F3305" r:id="rId3294" tooltip="Завантажити сертифікат" display="Завантажити сертифікат"/>
    <hyperlink ref="F3306" r:id="rId3295" tooltip="Завантажити сертифікат" display="Завантажити сертифікат"/>
    <hyperlink ref="F3307" r:id="rId3296" tooltip="Завантажити сертифікат" display="Завантажити сертифікат"/>
    <hyperlink ref="F3308" r:id="rId3297" tooltip="Завантажити сертифікат" display="Завантажити сертифікат"/>
    <hyperlink ref="F3309" r:id="rId3298" tooltip="Завантажити сертифікат" display="Завантажити сертифікат"/>
    <hyperlink ref="F3310" r:id="rId3299" tooltip="Завантажити сертифікат" display="Завантажити сертифікат"/>
    <hyperlink ref="F3311" r:id="rId3300" tooltip="Завантажити сертифікат" display="Завантажити сертифікат"/>
    <hyperlink ref="F3312" r:id="rId3301" tooltip="Завантажити сертифікат" display="Завантажити сертифікат"/>
    <hyperlink ref="F3313" r:id="rId3302" tooltip="Завантажити сертифікат" display="Завантажити сертифікат"/>
    <hyperlink ref="F3314" r:id="rId3303" tooltip="Завантажити сертифікат" display="Завантажити сертифікат"/>
    <hyperlink ref="F3315" r:id="rId3304" tooltip="Завантажити сертифікат" display="Завантажити сертифікат"/>
    <hyperlink ref="F3316" r:id="rId3305" tooltip="Завантажити сертифікат" display="Завантажити сертифікат"/>
    <hyperlink ref="F3317" r:id="rId3306" tooltip="Завантажити сертифікат" display="Завантажити сертифікат"/>
    <hyperlink ref="F3318" r:id="rId3307" tooltip="Завантажити сертифікат" display="Завантажити сертифікат"/>
    <hyperlink ref="F3319" r:id="rId3308" tooltip="Завантажити сертифікат" display="Завантажити сертифікат"/>
    <hyperlink ref="F3320" r:id="rId3309" tooltip="Завантажити сертифікат" display="Завантажити сертифікат"/>
    <hyperlink ref="F3321" r:id="rId3310" tooltip="Завантажити сертифікат" display="Завантажити сертифікат"/>
    <hyperlink ref="F3322" r:id="rId3311" tooltip="Завантажити сертифікат" display="Завантажити сертифікат"/>
    <hyperlink ref="F3323" r:id="rId3312" tooltip="Завантажити сертифікат" display="Завантажити сертифікат"/>
    <hyperlink ref="F3324" r:id="rId3313" tooltip="Завантажити сертифікат" display="Завантажити сертифікат"/>
    <hyperlink ref="F3325" r:id="rId3314" tooltip="Завантажити сертифікат" display="Завантажити сертифікат"/>
    <hyperlink ref="F3326" r:id="rId3315" tooltip="Завантажити сертифікат" display="Завантажити сертифікат"/>
    <hyperlink ref="F3327" r:id="rId3316" tooltip="Завантажити сертифікат" display="Завантажити сертифікат"/>
    <hyperlink ref="F3328" r:id="rId3317" tooltip="Завантажити сертифікат" display="Завантажити сертифікат"/>
    <hyperlink ref="F3329" r:id="rId3318" tooltip="Завантажити сертифікат" display="Завантажити сертифікат"/>
    <hyperlink ref="F3330" r:id="rId3319" tooltip="Завантажити сертифікат" display="Завантажити сертифікат"/>
    <hyperlink ref="F3331" r:id="rId3320" tooltip="Завантажити сертифікат" display="Завантажити сертифікат"/>
    <hyperlink ref="F3332" r:id="rId3321" tooltip="Завантажити сертифікат" display="Завантажити сертифікат"/>
    <hyperlink ref="F3333" r:id="rId3322" tooltip="Завантажити сертифікат" display="Завантажити сертифікат"/>
    <hyperlink ref="F3334" r:id="rId3323" tooltip="Завантажити сертифікат" display="Завантажити сертифікат"/>
    <hyperlink ref="F3335" r:id="rId3324" tooltip="Завантажити сертифікат" display="Завантажити сертифікат"/>
    <hyperlink ref="F3336" r:id="rId3325" tooltip="Завантажити сертифікат" display="Завантажити сертифікат"/>
    <hyperlink ref="F3337" r:id="rId3326" tooltip="Завантажити сертифікат" display="Завантажити сертифікат"/>
    <hyperlink ref="F3338" r:id="rId3327" tooltip="Завантажити сертифікат" display="Завантажити сертифікат"/>
    <hyperlink ref="F3339" r:id="rId3328" tooltip="Завантажити сертифікат" display="Завантажити сертифікат"/>
    <hyperlink ref="F3340" r:id="rId3329" tooltip="Завантажити сертифікат" display="Завантажити сертифікат"/>
    <hyperlink ref="F3341" r:id="rId3330" tooltip="Завантажити сертифікат" display="Завантажити сертифікат"/>
    <hyperlink ref="F3342" r:id="rId3331" tooltip="Завантажити сертифікат" display="Завантажити сертифікат"/>
    <hyperlink ref="F3343" r:id="rId3332" tooltip="Завантажити сертифікат" display="Завантажити сертифікат"/>
    <hyperlink ref="F3344" r:id="rId3333" tooltip="Завантажити сертифікат" display="Завантажити сертифікат"/>
    <hyperlink ref="F3345" r:id="rId3334" tooltip="Завантажити сертифікат" display="Завантажити сертифікат"/>
    <hyperlink ref="F3346" r:id="rId3335" tooltip="Завантажити сертифікат" display="Завантажити сертифікат"/>
    <hyperlink ref="F3347" r:id="rId3336" tooltip="Завантажити сертифікат" display="Завантажити сертифікат"/>
    <hyperlink ref="F3348" r:id="rId3337" tooltip="Завантажити сертифікат" display="Завантажити сертифікат"/>
    <hyperlink ref="F3349" r:id="rId3338" tooltip="Завантажити сертифікат" display="Завантажити сертифікат"/>
    <hyperlink ref="F3350" r:id="rId3339" tooltip="Завантажити сертифікат" display="Завантажити сертифікат"/>
    <hyperlink ref="F3351" r:id="rId3340" tooltip="Завантажити сертифікат" display="Завантажити сертифікат"/>
    <hyperlink ref="F3352" r:id="rId3341" tooltip="Завантажити сертифікат" display="Завантажити сертифікат"/>
    <hyperlink ref="F3353" r:id="rId3342" tooltip="Завантажити сертифікат" display="Завантажити сертифікат"/>
    <hyperlink ref="F3354" r:id="rId3343" tooltip="Завантажити сертифікат" display="Завантажити сертифікат"/>
    <hyperlink ref="F3355" r:id="rId3344" tooltip="Завантажити сертифікат" display="Завантажити сертифікат"/>
    <hyperlink ref="F3356" r:id="rId3345" tooltip="Завантажити сертифікат" display="Завантажити сертифікат"/>
    <hyperlink ref="F3357" r:id="rId3346" tooltip="Завантажити сертифікат" display="Завантажити сертифікат"/>
    <hyperlink ref="F3358" r:id="rId3347" tooltip="Завантажити сертифікат" display="Завантажити сертифікат"/>
    <hyperlink ref="F3359" r:id="rId3348" tooltip="Завантажити сертифікат" display="Завантажити сертифікат"/>
    <hyperlink ref="F3360" r:id="rId3349" tooltip="Завантажити сертифікат" display="Завантажити сертифікат"/>
    <hyperlink ref="F3361" r:id="rId3350" tooltip="Завантажити сертифікат" display="Завантажити сертифікат"/>
    <hyperlink ref="F3362" r:id="rId3351" tooltip="Завантажити сертифікат" display="Завантажити сертифікат"/>
    <hyperlink ref="F3363" r:id="rId3352" tooltip="Завантажити сертифікат" display="Завантажити сертифікат"/>
    <hyperlink ref="F3364" r:id="rId3353" tooltip="Завантажити сертифікат" display="Завантажити сертифікат"/>
    <hyperlink ref="F3365" r:id="rId3354" tooltip="Завантажити сертифікат" display="Завантажити сертифікат"/>
    <hyperlink ref="F3366" r:id="rId3355" tooltip="Завантажити сертифікат" display="Завантажити сертифікат"/>
    <hyperlink ref="F3367" r:id="rId3356" tooltip="Завантажити сертифікат" display="Завантажити сертифікат"/>
    <hyperlink ref="F3368" r:id="rId3357" tooltip="Завантажити сертифікат" display="Завантажити сертифікат"/>
    <hyperlink ref="F3369" r:id="rId3358" tooltip="Завантажити сертифікат" display="Завантажити сертифікат"/>
    <hyperlink ref="F3370" r:id="rId3359" tooltip="Завантажити сертифікат" display="Завантажити сертифікат"/>
    <hyperlink ref="F3371" r:id="rId3360" tooltip="Завантажити сертифікат" display="Завантажити сертифікат"/>
    <hyperlink ref="F3372" r:id="rId3361" tooltip="Завантажити сертифікат" display="Завантажити сертифікат"/>
    <hyperlink ref="F3373" r:id="rId3362" tooltip="Завантажити сертифікат" display="Завантажити сертифікат"/>
    <hyperlink ref="F3374" r:id="rId3363" tooltip="Завантажити сертифікат" display="Завантажити сертифікат"/>
    <hyperlink ref="F3375" r:id="rId3364" tooltip="Завантажити сертифікат" display="Завантажити сертифікат"/>
    <hyperlink ref="F3376" r:id="rId3365" tooltip="Завантажити сертифікат" display="Завантажити сертифікат"/>
    <hyperlink ref="F3377" r:id="rId3366" tooltip="Завантажити сертифікат" display="Завантажити сертифікат"/>
    <hyperlink ref="F3378" r:id="rId3367" tooltip="Завантажити сертифікат" display="Завантажити сертифікат"/>
    <hyperlink ref="F3379" r:id="rId3368" tooltip="Завантажити сертифікат" display="Завантажити сертифікат"/>
    <hyperlink ref="F3380" r:id="rId3369" tooltip="Завантажити сертифікат" display="Завантажити сертифікат"/>
    <hyperlink ref="F3381" r:id="rId3370" tooltip="Завантажити сертифікат" display="Завантажити сертифікат"/>
    <hyperlink ref="F3382" r:id="rId3371" tooltip="Завантажити сертифікат" display="Завантажити сертифікат"/>
    <hyperlink ref="F3383" r:id="rId3372" tooltip="Завантажити сертифікат" display="Завантажити сертифікат"/>
    <hyperlink ref="F3384" r:id="rId3373" tooltip="Завантажити сертифікат" display="Завантажити сертифікат"/>
    <hyperlink ref="F3385" r:id="rId3374" tooltip="Завантажити сертифікат" display="Завантажити сертифікат"/>
    <hyperlink ref="F3386" r:id="rId3375" tooltip="Завантажити сертифікат" display="Завантажити сертифікат"/>
    <hyperlink ref="F3387" r:id="rId3376" tooltip="Завантажити сертифікат" display="Завантажити сертифікат"/>
    <hyperlink ref="F3388" r:id="rId3377" tooltip="Завантажити сертифікат" display="Завантажити сертифікат"/>
    <hyperlink ref="F3389" r:id="rId3378" tooltip="Завантажити сертифікат" display="Завантажити сертифікат"/>
    <hyperlink ref="F3390" r:id="rId3379" tooltip="Завантажити сертифікат" display="Завантажити сертифікат"/>
    <hyperlink ref="F3391" r:id="rId3380" tooltip="Завантажити сертифікат" display="Завантажити сертифікат"/>
    <hyperlink ref="F3392" r:id="rId3381" tooltip="Завантажити сертифікат" display="Завантажити сертифікат"/>
    <hyperlink ref="F3393" r:id="rId3382" tooltip="Завантажити сертифікат" display="Завантажити сертифікат"/>
    <hyperlink ref="F3394" r:id="rId3383" tooltip="Завантажити сертифікат" display="Завантажити сертифікат"/>
    <hyperlink ref="F3395" r:id="rId3384" tooltip="Завантажити сертифікат" display="Завантажити сертифікат"/>
    <hyperlink ref="F3396" r:id="rId3385" tooltip="Завантажити сертифікат" display="Завантажити сертифікат"/>
    <hyperlink ref="F3397" r:id="rId3386" tooltip="Завантажити сертифікат" display="Завантажити сертифікат"/>
    <hyperlink ref="F3398" r:id="rId3387" tooltip="Завантажити сертифікат" display="Завантажити сертифікат"/>
    <hyperlink ref="F3399" r:id="rId3388" tooltip="Завантажити сертифікат" display="Завантажити сертифікат"/>
    <hyperlink ref="F3400" r:id="rId3389" tooltip="Завантажити сертифікат" display="Завантажити сертифікат"/>
    <hyperlink ref="F3401" r:id="rId3390" tooltip="Завантажити сертифікат" display="Завантажити сертифікат"/>
    <hyperlink ref="F3402" r:id="rId3391" tooltip="Завантажити сертифікат" display="Завантажити сертифікат"/>
    <hyperlink ref="F3403" r:id="rId3392" tooltip="Завантажити сертифікат" display="Завантажити сертифікат"/>
    <hyperlink ref="F3404" r:id="rId3393" tooltip="Завантажити сертифікат" display="Завантажити сертифікат"/>
    <hyperlink ref="F3405" r:id="rId3394" tooltip="Завантажити сертифікат" display="Завантажити сертифікат"/>
    <hyperlink ref="F3406" r:id="rId3395" tooltip="Завантажити сертифікат" display="Завантажити сертифікат"/>
    <hyperlink ref="F3407" r:id="rId3396" tooltip="Завантажити сертифікат" display="Завантажити сертифікат"/>
    <hyperlink ref="F3408" r:id="rId3397" tooltip="Завантажити сертифікат" display="Завантажити сертифікат"/>
    <hyperlink ref="F3409" r:id="rId3398" tooltip="Завантажити сертифікат" display="Завантажити сертифікат"/>
    <hyperlink ref="F3410" r:id="rId3399" tooltip="Завантажити сертифікат" display="Завантажити сертифікат"/>
    <hyperlink ref="F3411" r:id="rId3400" tooltip="Завантажити сертифікат" display="Завантажити сертифікат"/>
    <hyperlink ref="F3412" r:id="rId3401" tooltip="Завантажити сертифікат" display="Завантажити сертифікат"/>
    <hyperlink ref="F3413" r:id="rId3402" tooltip="Завантажити сертифікат" display="Завантажити сертифікат"/>
    <hyperlink ref="F3414" r:id="rId3403" tooltip="Завантажити сертифікат" display="Завантажити сертифікат"/>
    <hyperlink ref="F3415" r:id="rId3404" tooltip="Завантажити сертифікат" display="Завантажити сертифікат"/>
    <hyperlink ref="F3416" r:id="rId3405" tooltip="Завантажити сертифікат" display="Завантажити сертифікат"/>
    <hyperlink ref="F3417" r:id="rId3406" tooltip="Завантажити сертифікат" display="Завантажити сертифікат"/>
    <hyperlink ref="F3418" r:id="rId3407" tooltip="Завантажити сертифікат" display="Завантажити сертифікат"/>
    <hyperlink ref="F3419" r:id="rId3408" tooltip="Завантажити сертифікат" display="Завантажити сертифікат"/>
    <hyperlink ref="F3420" r:id="rId3409" tooltip="Завантажити сертифікат" display="Завантажити сертифікат"/>
    <hyperlink ref="F3421" r:id="rId3410" tooltip="Завантажити сертифікат" display="Завантажити сертифікат"/>
    <hyperlink ref="F3422" r:id="rId3411" tooltip="Завантажити сертифікат" display="Завантажити сертифікат"/>
    <hyperlink ref="F3423" r:id="rId3412" tooltip="Завантажити сертифікат" display="Завантажити сертифікат"/>
    <hyperlink ref="F3424" r:id="rId3413" tooltip="Завантажити сертифікат" display="Завантажити сертифікат"/>
    <hyperlink ref="F3425" r:id="rId3414" tooltip="Завантажити сертифікат" display="Завантажити сертифікат"/>
    <hyperlink ref="F3426" r:id="rId3415" tooltip="Завантажити сертифікат" display="Завантажити сертифікат"/>
    <hyperlink ref="F3427" r:id="rId3416" tooltip="Завантажити сертифікат" display="Завантажити сертифікат"/>
    <hyperlink ref="F3428" r:id="rId3417" tooltip="Завантажити сертифікат" display="Завантажити сертифікат"/>
    <hyperlink ref="F3429" r:id="rId3418" tooltip="Завантажити сертифікат" display="Завантажити сертифікат"/>
    <hyperlink ref="F3430" r:id="rId3419" tooltip="Завантажити сертифікат" display="Завантажити сертифікат"/>
    <hyperlink ref="F3431" r:id="rId3420" tooltip="Завантажити сертифікат" display="Завантажити сертифікат"/>
    <hyperlink ref="F3432" r:id="rId3421" tooltip="Завантажити сертифікат" display="Завантажити сертифікат"/>
    <hyperlink ref="F3433" r:id="rId3422" tooltip="Завантажити сертифікат" display="Завантажити сертифікат"/>
    <hyperlink ref="F3434" r:id="rId3423" tooltip="Завантажити сертифікат" display="Завантажити сертифікат"/>
    <hyperlink ref="F3435" r:id="rId3424" tooltip="Завантажити сертифікат" display="Завантажити сертифікат"/>
    <hyperlink ref="F3436" r:id="rId3425" tooltip="Завантажити сертифікат" display="Завантажити сертифікат"/>
    <hyperlink ref="F3437" r:id="rId3426" tooltip="Завантажити сертифікат" display="Завантажити сертифікат"/>
    <hyperlink ref="F3438" r:id="rId3427" tooltip="Завантажити сертифікат" display="Завантажити сертифікат"/>
    <hyperlink ref="F3439" r:id="rId3428" tooltip="Завантажити сертифікат" display="Завантажити сертифікат"/>
    <hyperlink ref="F3440" r:id="rId3429" tooltip="Завантажити сертифікат" display="Завантажити сертифікат"/>
    <hyperlink ref="F3441" r:id="rId3430" tooltip="Завантажити сертифікат" display="Завантажити сертифікат"/>
    <hyperlink ref="F3442" r:id="rId3431" tooltip="Завантажити сертифікат" display="Завантажити сертифікат"/>
    <hyperlink ref="F3443" r:id="rId3432" tooltip="Завантажити сертифікат" display="Завантажити сертифікат"/>
    <hyperlink ref="F3444" r:id="rId3433" tooltip="Завантажити сертифікат" display="Завантажити сертифікат"/>
    <hyperlink ref="F3445" r:id="rId3434" tooltip="Завантажити сертифікат" display="Завантажити сертифікат"/>
    <hyperlink ref="F3446" r:id="rId3435" tooltip="Завантажити сертифікат" display="Завантажити сертифікат"/>
    <hyperlink ref="F3447" r:id="rId3436" tooltip="Завантажити сертифікат" display="Завантажити сертифікат"/>
    <hyperlink ref="F3448" r:id="rId3437" tooltip="Завантажити сертифікат" display="Завантажити сертифікат"/>
    <hyperlink ref="F3449" r:id="rId3438" tooltip="Завантажити сертифікат" display="Завантажити сертифікат"/>
    <hyperlink ref="F3450" r:id="rId3439" tooltip="Завантажити сертифікат" display="Завантажити сертифікат"/>
    <hyperlink ref="F3451" r:id="rId3440" tooltip="Завантажити сертифікат" display="Завантажити сертифікат"/>
    <hyperlink ref="F3452" r:id="rId3441" tooltip="Завантажити сертифікат" display="Завантажити сертифікат"/>
    <hyperlink ref="F3453" r:id="rId3442" tooltip="Завантажити сертифікат" display="Завантажити сертифікат"/>
    <hyperlink ref="F3454" r:id="rId3443" tooltip="Завантажити сертифікат" display="Завантажити сертифікат"/>
    <hyperlink ref="F3455" r:id="rId3444" tooltip="Завантажити сертифікат" display="Завантажити сертифікат"/>
    <hyperlink ref="F3456" r:id="rId3445" tooltip="Завантажити сертифікат" display="Завантажити сертифікат"/>
    <hyperlink ref="F3457" r:id="rId3446" tooltip="Завантажити сертифікат" display="Завантажити сертифікат"/>
    <hyperlink ref="F3458" r:id="rId3447" tooltip="Завантажити сертифікат" display="Завантажити сертифікат"/>
    <hyperlink ref="F3459" r:id="rId3448" tooltip="Завантажити сертифікат" display="Завантажити сертифікат"/>
    <hyperlink ref="F3460" r:id="rId3449" tooltip="Завантажити сертифікат" display="Завантажити сертифікат"/>
    <hyperlink ref="F3461" r:id="rId3450" tooltip="Завантажити сертифікат" display="Завантажити сертифікат"/>
    <hyperlink ref="F3462" r:id="rId3451" tooltip="Завантажити сертифікат" display="Завантажити сертифікат"/>
    <hyperlink ref="F3463" r:id="rId3452" tooltip="Завантажити сертифікат" display="Завантажити сертифікат"/>
    <hyperlink ref="F3464" r:id="rId3453" tooltip="Завантажити сертифікат" display="Завантажити сертифікат"/>
    <hyperlink ref="F3465" r:id="rId3454" tooltip="Завантажити сертифікат" display="Завантажити сертифікат"/>
    <hyperlink ref="F3466" r:id="rId3455" tooltip="Завантажити сертифікат" display="Завантажити сертифікат"/>
    <hyperlink ref="F3467" r:id="rId3456" tooltip="Завантажити сертифікат" display="Завантажити сертифікат"/>
    <hyperlink ref="F3468" r:id="rId3457" tooltip="Завантажити сертифікат" display="Завантажити сертифікат"/>
    <hyperlink ref="F3469" r:id="rId3458" tooltip="Завантажити сертифікат" display="Завантажити сертифікат"/>
    <hyperlink ref="F3470" r:id="rId3459" tooltip="Завантажити сертифікат" display="Завантажити сертифікат"/>
    <hyperlink ref="F3471" r:id="rId3460" tooltip="Завантажити сертифікат" display="Завантажити сертифікат"/>
    <hyperlink ref="F3472" r:id="rId3461" tooltip="Завантажити сертифікат" display="Завантажити сертифікат"/>
    <hyperlink ref="F3473" r:id="rId3462" tooltip="Завантажити сертифікат" display="Завантажити сертифікат"/>
    <hyperlink ref="F3474" r:id="rId3463" tooltip="Завантажити сертифікат" display="Завантажити сертифікат"/>
    <hyperlink ref="F3475" r:id="rId3464" tooltip="Завантажити сертифікат" display="Завантажити сертифікат"/>
    <hyperlink ref="F3476" r:id="rId3465" tooltip="Завантажити сертифікат" display="Завантажити сертифікат"/>
    <hyperlink ref="F3477" r:id="rId3466" tooltip="Завантажити сертифікат" display="Завантажити сертифікат"/>
    <hyperlink ref="F3478" r:id="rId3467" tooltip="Завантажити сертифікат" display="Завантажити сертифікат"/>
    <hyperlink ref="F3479" r:id="rId3468" tooltip="Завантажити сертифікат" display="Завантажити сертифікат"/>
    <hyperlink ref="F3480" r:id="rId3469" tooltip="Завантажити сертифікат" display="Завантажити сертифікат"/>
    <hyperlink ref="F3481" r:id="rId3470" tooltip="Завантажити сертифікат" display="Завантажити сертифікат"/>
    <hyperlink ref="F3482" r:id="rId3471" tooltip="Завантажити сертифікат" display="Завантажити сертифікат"/>
    <hyperlink ref="F3483" r:id="rId3472" tooltip="Завантажити сертифікат" display="Завантажити сертифікат"/>
    <hyperlink ref="F3484" r:id="rId3473" tooltip="Завантажити сертифікат" display="Завантажити сертифікат"/>
    <hyperlink ref="F3485" r:id="rId3474" tooltip="Завантажити сертифікат" display="Завантажити сертифікат"/>
    <hyperlink ref="F3486" r:id="rId3475" tooltip="Завантажити сертифікат" display="Завантажити сертифікат"/>
    <hyperlink ref="F3487" r:id="rId3476" tooltip="Завантажити сертифікат" display="Завантажити сертифікат"/>
    <hyperlink ref="F3488" r:id="rId3477" tooltip="Завантажити сертифікат" display="Завантажити сертифікат"/>
    <hyperlink ref="F3489" r:id="rId3478" tooltip="Завантажити сертифікат" display="Завантажити сертифікат"/>
    <hyperlink ref="F3490" r:id="rId3479" tooltip="Завантажити сертифікат" display="Завантажити сертифікат"/>
    <hyperlink ref="F3491" r:id="rId3480" tooltip="Завантажити сертифікат" display="Завантажити сертифікат"/>
    <hyperlink ref="F3492" r:id="rId3481" tooltip="Завантажити сертифікат" display="Завантажити сертифікат"/>
    <hyperlink ref="F3493" r:id="rId3482" tooltip="Завантажити сертифікат" display="Завантажити сертифікат"/>
    <hyperlink ref="F3494" r:id="rId3483" tooltip="Завантажити сертифікат" display="Завантажити сертифікат"/>
    <hyperlink ref="F3495" r:id="rId3484" tooltip="Завантажити сертифікат" display="Завантажити сертифікат"/>
    <hyperlink ref="F3496" r:id="rId3485" tooltip="Завантажити сертифікат" display="Завантажити сертифікат"/>
    <hyperlink ref="F3497" r:id="rId3486" tooltip="Завантажити сертифікат" display="Завантажити сертифікат"/>
    <hyperlink ref="F3498" r:id="rId3487" tooltip="Завантажити сертифікат" display="Завантажити сертифікат"/>
    <hyperlink ref="F3499" r:id="rId3488" tooltip="Завантажити сертифікат" display="Завантажити сертифікат"/>
    <hyperlink ref="F3500" r:id="rId3489" tooltip="Завантажити сертифікат" display="Завантажити сертифікат"/>
    <hyperlink ref="F3501" r:id="rId3490" tooltip="Завантажити сертифікат" display="Завантажити сертифікат"/>
    <hyperlink ref="F3502" r:id="rId3491" tooltip="Завантажити сертифікат" display="Завантажити сертифікат"/>
    <hyperlink ref="F3503" r:id="rId3492" tooltip="Завантажити сертифікат" display="Завантажити сертифікат"/>
    <hyperlink ref="F3504" r:id="rId3493" tooltip="Завантажити сертифікат" display="Завантажити сертифікат"/>
    <hyperlink ref="F3505" r:id="rId3494" tooltip="Завантажити сертифікат" display="Завантажити сертифікат"/>
    <hyperlink ref="F3506" r:id="rId3495" tooltip="Завантажити сертифікат" display="Завантажити сертифікат"/>
    <hyperlink ref="F3507" r:id="rId3496" tooltip="Завантажити сертифікат" display="Завантажити сертифікат"/>
    <hyperlink ref="F3508" r:id="rId3497" tooltip="Завантажити сертифікат" display="Завантажити сертифікат"/>
    <hyperlink ref="F3509" r:id="rId3498" tooltip="Завантажити сертифікат" display="Завантажити сертифікат"/>
    <hyperlink ref="F3510" r:id="rId3499" tooltip="Завантажити сертифікат" display="Завантажити сертифікат"/>
    <hyperlink ref="F3511" r:id="rId3500" tooltip="Завантажити сертифікат" display="Завантажити сертифікат"/>
    <hyperlink ref="F3512" r:id="rId3501" tooltip="Завантажити сертифікат" display="Завантажити сертифікат"/>
    <hyperlink ref="F3513" r:id="rId3502" tooltip="Завантажити сертифікат" display="Завантажити сертифікат"/>
    <hyperlink ref="F3514" r:id="rId3503" tooltip="Завантажити сертифікат" display="Завантажити сертифікат"/>
    <hyperlink ref="F3515" r:id="rId3504" tooltip="Завантажити сертифікат" display="Завантажити сертифікат"/>
    <hyperlink ref="F3516" r:id="rId3505" tooltip="Завантажити сертифікат" display="Завантажити сертифікат"/>
    <hyperlink ref="F3517" r:id="rId3506" tooltip="Завантажити сертифікат" display="Завантажити сертифікат"/>
    <hyperlink ref="F3518" r:id="rId3507" tooltip="Завантажити сертифікат" display="Завантажити сертифікат"/>
    <hyperlink ref="F3519" r:id="rId3508" tooltip="Завантажити сертифікат" display="Завантажити сертифікат"/>
    <hyperlink ref="F3520" r:id="rId3509" tooltip="Завантажити сертифікат" display="Завантажити сертифікат"/>
    <hyperlink ref="F3521" r:id="rId3510" tooltip="Завантажити сертифікат" display="Завантажити сертифікат"/>
    <hyperlink ref="F3522" r:id="rId3511" tooltip="Завантажити сертифікат" display="Завантажити сертифікат"/>
    <hyperlink ref="F3523" r:id="rId3512" tooltip="Завантажити сертифікат" display="Завантажити сертифікат"/>
    <hyperlink ref="F3524" r:id="rId3513" tooltip="Завантажити сертифікат" display="Завантажити сертифікат"/>
    <hyperlink ref="F3525" r:id="rId3514" tooltip="Завантажити сертифікат" display="Завантажити сертифікат"/>
    <hyperlink ref="F3526" r:id="rId3515" tooltip="Завантажити сертифікат" display="Завантажити сертифікат"/>
    <hyperlink ref="F3527" r:id="rId3516" tooltip="Завантажити сертифікат" display="Завантажити сертифікат"/>
    <hyperlink ref="F3528" r:id="rId3517" tooltip="Завантажити сертифікат" display="Завантажити сертифікат"/>
    <hyperlink ref="F3529" r:id="rId3518" tooltip="Завантажити сертифікат" display="Завантажити сертифікат"/>
    <hyperlink ref="F3530" r:id="rId3519" tooltip="Завантажити сертифікат" display="Завантажити сертифікат"/>
    <hyperlink ref="F3531" r:id="rId3520" tooltip="Завантажити сертифікат" display="Завантажити сертифікат"/>
    <hyperlink ref="F3532" r:id="rId3521" tooltip="Завантажити сертифікат" display="Завантажити сертифікат"/>
    <hyperlink ref="F3533" r:id="rId3522" tooltip="Завантажити сертифікат" display="Завантажити сертифікат"/>
    <hyperlink ref="F3534" r:id="rId3523" tooltip="Завантажити сертифікат" display="Завантажити сертифікат"/>
    <hyperlink ref="F3535" r:id="rId3524" tooltip="Завантажити сертифікат" display="Завантажити сертифікат"/>
    <hyperlink ref="F3536" r:id="rId3525" tooltip="Завантажити сертифікат" display="Завантажити сертифікат"/>
    <hyperlink ref="F3537" r:id="rId3526" tooltip="Завантажити сертифікат" display="Завантажити сертифікат"/>
    <hyperlink ref="F3538" r:id="rId3527" tooltip="Завантажити сертифікат" display="Завантажити сертифікат"/>
    <hyperlink ref="F3539" r:id="rId3528" tooltip="Завантажити сертифікат" display="Завантажити сертифікат"/>
    <hyperlink ref="F3540" r:id="rId3529" tooltip="Завантажити сертифікат" display="Завантажити сертифікат"/>
    <hyperlink ref="F3541" r:id="rId3530" tooltip="Завантажити сертифікат" display="Завантажити сертифікат"/>
    <hyperlink ref="F3542" r:id="rId3531" tooltip="Завантажити сертифікат" display="Завантажити сертифікат"/>
    <hyperlink ref="F3543" r:id="rId3532" tooltip="Завантажити сертифікат" display="Завантажити сертифікат"/>
    <hyperlink ref="F3544" r:id="rId3533" tooltip="Завантажити сертифікат" display="Завантажити сертифікат"/>
    <hyperlink ref="F3545" r:id="rId3534" tooltip="Завантажити сертифікат" display="Завантажити сертифікат"/>
    <hyperlink ref="F3546" r:id="rId3535" tooltip="Завантажити сертифікат" display="Завантажити сертифікат"/>
    <hyperlink ref="F3547" r:id="rId3536" tooltip="Завантажити сертифікат" display="Завантажити сертифікат"/>
    <hyperlink ref="F3548" r:id="rId3537" tooltip="Завантажити сертифікат" display="Завантажити сертифікат"/>
    <hyperlink ref="F3549" r:id="rId3538" tooltip="Завантажити сертифікат" display="Завантажити сертифікат"/>
    <hyperlink ref="F3550" r:id="rId3539" tooltip="Завантажити сертифікат" display="Завантажити сертифікат"/>
    <hyperlink ref="F3551" r:id="rId3540" tooltip="Завантажити сертифікат" display="Завантажити сертифікат"/>
    <hyperlink ref="F3552" r:id="rId3541" tooltip="Завантажити сертифікат" display="Завантажити сертифікат"/>
    <hyperlink ref="F3553" r:id="rId3542" tooltip="Завантажити сертифікат" display="Завантажити сертифікат"/>
    <hyperlink ref="F3554" r:id="rId3543" tooltip="Завантажити сертифікат" display="Завантажити сертифікат"/>
    <hyperlink ref="F3555" r:id="rId3544" tooltip="Завантажити сертифікат" display="Завантажити сертифікат"/>
    <hyperlink ref="F3556" r:id="rId3545" tooltip="Завантажити сертифікат" display="Завантажити сертифікат"/>
    <hyperlink ref="F3557" r:id="rId3546" tooltip="Завантажити сертифікат" display="Завантажити сертифікат"/>
    <hyperlink ref="F3558" r:id="rId3547" tooltip="Завантажити сертифікат" display="Завантажити сертифікат"/>
    <hyperlink ref="F3559" r:id="rId3548" tooltip="Завантажити сертифікат" display="Завантажити сертифікат"/>
    <hyperlink ref="F3560" r:id="rId3549" tooltip="Завантажити сертифікат" display="Завантажити сертифікат"/>
    <hyperlink ref="F3561" r:id="rId3550" tooltip="Завантажити сертифікат" display="Завантажити сертифікат"/>
    <hyperlink ref="F3562" r:id="rId3551" tooltip="Завантажити сертифікат" display="Завантажити сертифікат"/>
    <hyperlink ref="F3563" r:id="rId3552" tooltip="Завантажити сертифікат" display="Завантажити сертифікат"/>
    <hyperlink ref="F3564" r:id="rId3553" tooltip="Завантажити сертифікат" display="Завантажити сертифікат"/>
    <hyperlink ref="F3565" r:id="rId3554" tooltip="Завантажити сертифікат" display="Завантажити сертифікат"/>
    <hyperlink ref="F3566" r:id="rId3555" tooltip="Завантажити сертифікат" display="Завантажити сертифікат"/>
    <hyperlink ref="F3567" r:id="rId3556" tooltip="Завантажити сертифікат" display="Завантажити сертифікат"/>
    <hyperlink ref="F3568" r:id="rId3557" tooltip="Завантажити сертифікат" display="Завантажити сертифікат"/>
    <hyperlink ref="F3569" r:id="rId3558" tooltip="Завантажити сертифікат" display="Завантажити сертифікат"/>
    <hyperlink ref="F3570" r:id="rId3559" tooltip="Завантажити сертифікат" display="Завантажити сертифікат"/>
    <hyperlink ref="F3571" r:id="rId3560" tooltip="Завантажити сертифікат" display="Завантажити сертифікат"/>
    <hyperlink ref="F3572" r:id="rId3561" tooltip="Завантажити сертифікат" display="Завантажити сертифікат"/>
    <hyperlink ref="F3573" r:id="rId3562" tooltip="Завантажити сертифікат" display="Завантажити сертифікат"/>
    <hyperlink ref="F3574" r:id="rId3563" tooltip="Завантажити сертифікат" display="Завантажити сертифікат"/>
    <hyperlink ref="F3575" r:id="rId3564" tooltip="Завантажити сертифікат" display="Завантажити сертифікат"/>
    <hyperlink ref="F3576" r:id="rId3565" tooltip="Завантажити сертифікат" display="Завантажити сертифікат"/>
    <hyperlink ref="F3577" r:id="rId3566" tooltip="Завантажити сертифікат" display="Завантажити сертифікат"/>
    <hyperlink ref="F3578" r:id="rId3567" tooltip="Завантажити сертифікат" display="Завантажити сертифікат"/>
    <hyperlink ref="F3579" r:id="rId3568" tooltip="Завантажити сертифікат" display="Завантажити сертифікат"/>
    <hyperlink ref="F3580" r:id="rId3569" tooltip="Завантажити сертифікат" display="Завантажити сертифікат"/>
    <hyperlink ref="F3581" r:id="rId3570" tooltip="Завантажити сертифікат" display="Завантажити сертифікат"/>
    <hyperlink ref="F3582" r:id="rId3571" tooltip="Завантажити сертифікат" display="Завантажити сертифікат"/>
    <hyperlink ref="F3583" r:id="rId3572" tooltip="Завантажити сертифікат" display="Завантажити сертифікат"/>
    <hyperlink ref="F3584" r:id="rId3573" tooltip="Завантажити сертифікат" display="Завантажити сертифікат"/>
    <hyperlink ref="F3585" r:id="rId3574" tooltip="Завантажити сертифікат" display="Завантажити сертифікат"/>
    <hyperlink ref="F3586" r:id="rId3575" tooltip="Завантажити сертифікат" display="Завантажити сертифікат"/>
    <hyperlink ref="F3587" r:id="rId3576" tooltip="Завантажити сертифікат" display="Завантажити сертифікат"/>
    <hyperlink ref="F3588" r:id="rId3577" tooltip="Завантажити сертифікат" display="Завантажити сертифікат"/>
    <hyperlink ref="F3589" r:id="rId3578" tooltip="Завантажити сертифікат" display="Завантажити сертифікат"/>
    <hyperlink ref="F3590" r:id="rId3579" tooltip="Завантажити сертифікат" display="Завантажити сертифікат"/>
    <hyperlink ref="F3591" r:id="rId3580" tooltip="Завантажити сертифікат" display="Завантажити сертифікат"/>
    <hyperlink ref="F3592" r:id="rId3581" tooltip="Завантажити сертифікат" display="Завантажити сертифікат"/>
    <hyperlink ref="F3593" r:id="rId3582" tooltip="Завантажити сертифікат" display="Завантажити сертифікат"/>
    <hyperlink ref="F3594" r:id="rId3583" tooltip="Завантажити сертифікат" display="Завантажити сертифікат"/>
    <hyperlink ref="F3595" r:id="rId3584" tooltip="Завантажити сертифікат" display="Завантажити сертифікат"/>
    <hyperlink ref="F3596" r:id="rId3585" tooltip="Завантажити сертифікат" display="Завантажити сертифікат"/>
    <hyperlink ref="F3597" r:id="rId3586" tooltip="Завантажити сертифікат" display="Завантажити сертифікат"/>
    <hyperlink ref="F3598" r:id="rId3587" tooltip="Завантажити сертифікат" display="Завантажити сертифікат"/>
    <hyperlink ref="F3599" r:id="rId3588" tooltip="Завантажити сертифікат" display="Завантажити сертифікат"/>
    <hyperlink ref="F3600" r:id="rId3589" tooltip="Завантажити сертифікат" display="Завантажити сертифікат"/>
    <hyperlink ref="F3601" r:id="rId3590" tooltip="Завантажити сертифікат" display="Завантажити сертифікат"/>
    <hyperlink ref="F3602" r:id="rId3591" tooltip="Завантажити сертифікат" display="Завантажити сертифікат"/>
    <hyperlink ref="F3603" r:id="rId3592" tooltip="Завантажити сертифікат" display="Завантажити сертифікат"/>
    <hyperlink ref="F3604" r:id="rId3593" tooltip="Завантажити сертифікат" display="Завантажити сертифікат"/>
    <hyperlink ref="F3605" r:id="rId3594" tooltip="Завантажити сертифікат" display="Завантажити сертифікат"/>
    <hyperlink ref="F3606" r:id="rId3595" tooltip="Завантажити сертифікат" display="Завантажити сертифікат"/>
    <hyperlink ref="F3607" r:id="rId3596" tooltip="Завантажити сертифікат" display="Завантажити сертифікат"/>
    <hyperlink ref="F3608" r:id="rId3597" tooltip="Завантажити сертифікат" display="Завантажити сертифікат"/>
    <hyperlink ref="F3609" r:id="rId3598" tooltip="Завантажити сертифікат" display="Завантажити сертифікат"/>
    <hyperlink ref="F3610" r:id="rId3599" tooltip="Завантажити сертифікат" display="Завантажити сертифікат"/>
    <hyperlink ref="F3611" r:id="rId3600" tooltip="Завантажити сертифікат" display="Завантажити сертифікат"/>
    <hyperlink ref="F3612" r:id="rId3601" tooltip="Завантажити сертифікат" display="Завантажити сертифікат"/>
    <hyperlink ref="F3613" r:id="rId3602" tooltip="Завантажити сертифікат" display="Завантажити сертифікат"/>
    <hyperlink ref="F3614" r:id="rId3603" tooltip="Завантажити сертифікат" display="Завантажити сертифікат"/>
    <hyperlink ref="F3615" r:id="rId3604" tooltip="Завантажити сертифікат" display="Завантажити сертифікат"/>
    <hyperlink ref="F3616" r:id="rId3605" tooltip="Завантажити сертифікат" display="Завантажити сертифікат"/>
    <hyperlink ref="F3617" r:id="rId3606" tooltip="Завантажити сертифікат" display="Завантажити сертифікат"/>
    <hyperlink ref="F3618" r:id="rId3607" tooltip="Завантажити сертифікат" display="Завантажити сертифікат"/>
    <hyperlink ref="F3619" r:id="rId3608" tooltip="Завантажити сертифікат" display="Завантажити сертифікат"/>
    <hyperlink ref="F3620" r:id="rId3609" tooltip="Завантажити сертифікат" display="Завантажити сертифікат"/>
    <hyperlink ref="F3621" r:id="rId3610" tooltip="Завантажити сертифікат" display="Завантажити сертифікат"/>
    <hyperlink ref="F3622" r:id="rId3611" tooltip="Завантажити сертифікат" display="Завантажити сертифікат"/>
    <hyperlink ref="F3623" r:id="rId3612" tooltip="Завантажити сертифікат" display="Завантажити сертифікат"/>
    <hyperlink ref="F3624" r:id="rId3613" tooltip="Завантажити сертифікат" display="Завантажити сертифікат"/>
    <hyperlink ref="F3625" r:id="rId3614" tooltip="Завантажити сертифікат" display="Завантажити сертифікат"/>
    <hyperlink ref="F3626" r:id="rId3615" tooltip="Завантажити сертифікат" display="Завантажити сертифікат"/>
    <hyperlink ref="F3627" r:id="rId3616" tooltip="Завантажити сертифікат" display="Завантажити сертифікат"/>
    <hyperlink ref="F3628" r:id="rId3617" tooltip="Завантажити сертифікат" display="Завантажити сертифікат"/>
    <hyperlink ref="F3629" r:id="rId3618" tooltip="Завантажити сертифікат" display="Завантажити сертифікат"/>
    <hyperlink ref="F3630" r:id="rId3619" tooltip="Завантажити сертифікат" display="Завантажити сертифікат"/>
    <hyperlink ref="F3631" r:id="rId3620" tooltip="Завантажити сертифікат" display="Завантажити сертифікат"/>
    <hyperlink ref="F3632" r:id="rId3621" tooltip="Завантажити сертифікат" display="Завантажити сертифікат"/>
    <hyperlink ref="F3633" r:id="rId3622" tooltip="Завантажити сертифікат" display="Завантажити сертифікат"/>
    <hyperlink ref="F3634" r:id="rId3623" tooltip="Завантажити сертифікат" display="Завантажити сертифікат"/>
    <hyperlink ref="F3635" r:id="rId3624" tooltip="Завантажити сертифікат" display="Завантажити сертифікат"/>
    <hyperlink ref="F3636" r:id="rId3625" tooltip="Завантажити сертифікат" display="Завантажити сертифікат"/>
    <hyperlink ref="F3637" r:id="rId3626" tooltip="Завантажити сертифікат" display="Завантажити сертифікат"/>
    <hyperlink ref="F3638" r:id="rId3627" tooltip="Завантажити сертифікат" display="Завантажити сертифікат"/>
    <hyperlink ref="F3639" r:id="rId3628" tooltip="Завантажити сертифікат" display="Завантажити сертифікат"/>
    <hyperlink ref="F3640" r:id="rId3629" tooltip="Завантажити сертифікат" display="Завантажити сертифікат"/>
    <hyperlink ref="F3641" r:id="rId3630" tooltip="Завантажити сертифікат" display="Завантажити сертифікат"/>
    <hyperlink ref="F3642" r:id="rId3631" tooltip="Завантажити сертифікат" display="Завантажити сертифікат"/>
    <hyperlink ref="F3643" r:id="rId3632" tooltip="Завантажити сертифікат" display="Завантажити сертифікат"/>
    <hyperlink ref="F3644" r:id="rId3633" tooltip="Завантажити сертифікат" display="Завантажити сертифікат"/>
    <hyperlink ref="F3645" r:id="rId3634" tooltip="Завантажити сертифікат" display="Завантажити сертифікат"/>
    <hyperlink ref="F3646" r:id="rId3635" tooltip="Завантажити сертифікат" display="Завантажити сертифікат"/>
    <hyperlink ref="F3647" r:id="rId3636" tooltip="Завантажити сертифікат" display="Завантажити сертифікат"/>
    <hyperlink ref="F3648" r:id="rId3637" tooltip="Завантажити сертифікат" display="Завантажити сертифікат"/>
    <hyperlink ref="F3649" r:id="rId3638" tooltip="Завантажити сертифікат" display="Завантажити сертифікат"/>
    <hyperlink ref="F3650" r:id="rId3639" tooltip="Завантажити сертифікат" display="Завантажити сертифікат"/>
    <hyperlink ref="F3651" r:id="rId3640" tooltip="Завантажити сертифікат" display="Завантажити сертифікат"/>
    <hyperlink ref="F3652" r:id="rId3641" tooltip="Завантажити сертифікат" display="Завантажити сертифікат"/>
    <hyperlink ref="F3653" r:id="rId3642" tooltip="Завантажити сертифікат" display="Завантажити сертифікат"/>
    <hyperlink ref="F3654" r:id="rId3643" tooltip="Завантажити сертифікат" display="Завантажити сертифікат"/>
    <hyperlink ref="F3655" r:id="rId3644" tooltip="Завантажити сертифікат" display="Завантажити сертифікат"/>
    <hyperlink ref="F3656" r:id="rId3645" tooltip="Завантажити сертифікат" display="Завантажити сертифікат"/>
    <hyperlink ref="F3657" r:id="rId3646" tooltip="Завантажити сертифікат" display="Завантажити сертифікат"/>
    <hyperlink ref="F3658" r:id="rId3647" tooltip="Завантажити сертифікат" display="Завантажити сертифікат"/>
    <hyperlink ref="F3659" r:id="rId3648" tooltip="Завантажити сертифікат" display="Завантажити сертифікат"/>
    <hyperlink ref="F3660" r:id="rId3649" tooltip="Завантажити сертифікат" display="Завантажити сертифікат"/>
    <hyperlink ref="F3661" r:id="rId3650" tooltip="Завантажити сертифікат" display="Завантажити сертифікат"/>
    <hyperlink ref="F3662" r:id="rId3651" tooltip="Завантажити сертифікат" display="Завантажити сертифікат"/>
    <hyperlink ref="F3663" r:id="rId3652" tooltip="Завантажити сертифікат" display="Завантажити сертифікат"/>
    <hyperlink ref="F3664" r:id="rId3653" tooltip="Завантажити сертифікат" display="Завантажити сертифікат"/>
    <hyperlink ref="F3665" r:id="rId3654" tooltip="Завантажити сертифікат" display="Завантажити сертифікат"/>
    <hyperlink ref="F3666" r:id="rId3655" tooltip="Завантажити сертифікат" display="Завантажити сертифікат"/>
    <hyperlink ref="F3667" r:id="rId3656" tooltip="Завантажити сертифікат" display="Завантажити сертифікат"/>
    <hyperlink ref="F3668" r:id="rId3657" tooltip="Завантажити сертифікат" display="Завантажити сертифікат"/>
    <hyperlink ref="F3669" r:id="rId3658" tooltip="Завантажити сертифікат" display="Завантажити сертифікат"/>
    <hyperlink ref="F3670" r:id="rId3659" tooltip="Завантажити сертифікат" display="Завантажити сертифікат"/>
    <hyperlink ref="F3671" r:id="rId3660" tooltip="Завантажити сертифікат" display="Завантажити сертифікат"/>
    <hyperlink ref="F3672" r:id="rId3661" tooltip="Завантажити сертифікат" display="Завантажити сертифікат"/>
    <hyperlink ref="F3673" r:id="rId3662" tooltip="Завантажити сертифікат" display="Завантажити сертифікат"/>
    <hyperlink ref="F3674" r:id="rId3663" tooltip="Завантажити сертифікат" display="Завантажити сертифікат"/>
    <hyperlink ref="F3675" r:id="rId3664" tooltip="Завантажити сертифікат" display="Завантажити сертифікат"/>
    <hyperlink ref="F3676" r:id="rId3665" tooltip="Завантажити сертифікат" display="Завантажити сертифікат"/>
    <hyperlink ref="F3677" r:id="rId3666" tooltip="Завантажити сертифікат" display="Завантажити сертифікат"/>
    <hyperlink ref="F3678" r:id="rId3667" tooltip="Завантажити сертифікат" display="Завантажити сертифікат"/>
    <hyperlink ref="F3679" r:id="rId3668" tooltip="Завантажити сертифікат" display="Завантажити сертифікат"/>
    <hyperlink ref="F3680" r:id="rId3669" tooltip="Завантажити сертифікат" display="Завантажити сертифікат"/>
    <hyperlink ref="F3681" r:id="rId3670" tooltip="Завантажити сертифікат" display="Завантажити сертифікат"/>
    <hyperlink ref="F3682" r:id="rId3671" tooltip="Завантажити сертифікат" display="Завантажити сертифікат"/>
    <hyperlink ref="F3683" r:id="rId3672" tooltip="Завантажити сертифікат" display="Завантажити сертифікат"/>
    <hyperlink ref="F3684" r:id="rId3673" tooltip="Завантажити сертифікат" display="Завантажити сертифікат"/>
    <hyperlink ref="F3685" r:id="rId3674" tooltip="Завантажити сертифікат" display="Завантажити сертифікат"/>
    <hyperlink ref="F3686" r:id="rId3675" tooltip="Завантажити сертифікат" display="Завантажити сертифікат"/>
    <hyperlink ref="F3687" r:id="rId3676" tooltip="Завантажити сертифікат" display="Завантажити сертифікат"/>
    <hyperlink ref="F3688" r:id="rId3677" tooltip="Завантажити сертифікат" display="Завантажити сертифікат"/>
    <hyperlink ref="F3689" r:id="rId3678" tooltip="Завантажити сертифікат" display="Завантажити сертифікат"/>
    <hyperlink ref="F3690" r:id="rId3679" tooltip="Завантажити сертифікат" display="Завантажити сертифікат"/>
    <hyperlink ref="F3691" r:id="rId3680" tooltip="Завантажити сертифікат" display="Завантажити сертифікат"/>
    <hyperlink ref="F3692" r:id="rId3681" tooltip="Завантажити сертифікат" display="Завантажити сертифікат"/>
    <hyperlink ref="F3693" r:id="rId3682" tooltip="Завантажити сертифікат" display="Завантажити сертифікат"/>
    <hyperlink ref="F3694" r:id="rId3683" tooltip="Завантажити сертифікат" display="Завантажити сертифікат"/>
    <hyperlink ref="F3695" r:id="rId3684" tooltip="Завантажити сертифікат" display="Завантажити сертифікат"/>
    <hyperlink ref="F3696" r:id="rId3685" tooltip="Завантажити сертифікат" display="Завантажити сертифікат"/>
    <hyperlink ref="F3697" r:id="rId3686" tooltip="Завантажити сертифікат" display="Завантажити сертифікат"/>
    <hyperlink ref="F3698" r:id="rId3687" tooltip="Завантажити сертифікат" display="Завантажити сертифікат"/>
    <hyperlink ref="F3699" r:id="rId3688" tooltip="Завантажити сертифікат" display="Завантажити сертифікат"/>
    <hyperlink ref="F3700" r:id="rId3689" tooltip="Завантажити сертифікат" display="Завантажити сертифікат"/>
    <hyperlink ref="F3701" r:id="rId3690" tooltip="Завантажити сертифікат" display="Завантажити сертифікат"/>
    <hyperlink ref="F3702" r:id="rId3691" tooltip="Завантажити сертифікат" display="Завантажити сертифікат"/>
    <hyperlink ref="F3703" r:id="rId3692" tooltip="Завантажити сертифікат" display="Завантажити сертифікат"/>
    <hyperlink ref="F3704" r:id="rId3693" tooltip="Завантажити сертифікат" display="Завантажити сертифікат"/>
    <hyperlink ref="F3705" r:id="rId3694" tooltip="Завантажити сертифікат" display="Завантажити сертифікат"/>
    <hyperlink ref="F3706" r:id="rId3695" tooltip="Завантажити сертифікат" display="Завантажити сертифікат"/>
    <hyperlink ref="F3707" r:id="rId3696" tooltip="Завантажити сертифікат" display="Завантажити сертифікат"/>
    <hyperlink ref="F3708" r:id="rId3697" tooltip="Завантажити сертифікат" display="Завантажити сертифікат"/>
    <hyperlink ref="F3709" r:id="rId3698" tooltip="Завантажити сертифікат" display="Завантажити сертифікат"/>
    <hyperlink ref="F3710" r:id="rId3699" tooltip="Завантажити сертифікат" display="Завантажити сертифікат"/>
    <hyperlink ref="F3711" r:id="rId3700" tooltip="Завантажити сертифікат" display="Завантажити сертифікат"/>
    <hyperlink ref="F3712" r:id="rId3701" tooltip="Завантажити сертифікат" display="Завантажити сертифікат"/>
    <hyperlink ref="F3713" r:id="rId3702" tooltip="Завантажити сертифікат" display="Завантажити сертифікат"/>
    <hyperlink ref="F3714" r:id="rId3703" tooltip="Завантажити сертифікат" display="Завантажити сертифікат"/>
    <hyperlink ref="F3715" r:id="rId3704" tooltip="Завантажити сертифікат" display="Завантажити сертифікат"/>
    <hyperlink ref="F3716" r:id="rId3705" tooltip="Завантажити сертифікат" display="Завантажити сертифікат"/>
    <hyperlink ref="F3717" r:id="rId3706" tooltip="Завантажити сертифікат" display="Завантажити сертифікат"/>
    <hyperlink ref="F3718" r:id="rId3707" tooltip="Завантажити сертифікат" display="Завантажити сертифікат"/>
    <hyperlink ref="F3719" r:id="rId3708" tooltip="Завантажити сертифікат" display="Завантажити сертифікат"/>
    <hyperlink ref="F3720" r:id="rId3709" tooltip="Завантажити сертифікат" display="Завантажити сертифікат"/>
    <hyperlink ref="F3721" r:id="rId3710" tooltip="Завантажити сертифікат" display="Завантажити сертифікат"/>
    <hyperlink ref="F3722" r:id="rId3711" tooltip="Завантажити сертифікат" display="Завантажити сертифікат"/>
    <hyperlink ref="F3723" r:id="rId3712" tooltip="Завантажити сертифікат" display="Завантажити сертифікат"/>
    <hyperlink ref="F3724" r:id="rId3713" tooltip="Завантажити сертифікат" display="Завантажити сертифікат"/>
    <hyperlink ref="F3725" r:id="rId3714" tooltip="Завантажити сертифікат" display="Завантажити сертифікат"/>
    <hyperlink ref="F3726" r:id="rId3715" tooltip="Завантажити сертифікат" display="Завантажити сертифікат"/>
    <hyperlink ref="F3727" r:id="rId3716" tooltip="Завантажити сертифікат" display="Завантажити сертифікат"/>
    <hyperlink ref="F3728" r:id="rId3717" tooltip="Завантажити сертифікат" display="Завантажити сертифікат"/>
    <hyperlink ref="F3729" r:id="rId3718" tooltip="Завантажити сертифікат" display="Завантажити сертифікат"/>
    <hyperlink ref="F3730" r:id="rId3719" tooltip="Завантажити сертифікат" display="Завантажити сертифікат"/>
    <hyperlink ref="F3731" r:id="rId3720" tooltip="Завантажити сертифікат" display="Завантажити сертифікат"/>
    <hyperlink ref="F3732" r:id="rId3721" tooltip="Завантажити сертифікат" display="Завантажити сертифікат"/>
    <hyperlink ref="F3733" r:id="rId3722" tooltip="Завантажити сертифікат" display="Завантажити сертифікат"/>
    <hyperlink ref="F3734" r:id="rId3723" tooltip="Завантажити сертифікат" display="Завантажити сертифікат"/>
    <hyperlink ref="F3735" r:id="rId3724" tooltip="Завантажити сертифікат" display="Завантажити сертифікат"/>
    <hyperlink ref="F3736" r:id="rId3725" tooltip="Завантажити сертифікат" display="Завантажити сертифікат"/>
    <hyperlink ref="F3737" r:id="rId3726" tooltip="Завантажити сертифікат" display="Завантажити сертифікат"/>
    <hyperlink ref="F3738" r:id="rId3727" tooltip="Завантажити сертифікат" display="Завантажити сертифікат"/>
    <hyperlink ref="F3739" r:id="rId3728" tooltip="Завантажити сертифікат" display="Завантажити сертифікат"/>
    <hyperlink ref="F3740" r:id="rId3729" tooltip="Завантажити сертифікат" display="Завантажити сертифікат"/>
    <hyperlink ref="F3741" r:id="rId3730" tooltip="Завантажити сертифікат" display="Завантажити сертифікат"/>
    <hyperlink ref="F3742" r:id="rId3731" tooltip="Завантажити сертифікат" display="Завантажити сертифікат"/>
    <hyperlink ref="F3743" r:id="rId3732" tooltip="Завантажити сертифікат" display="Завантажити сертифікат"/>
    <hyperlink ref="F3744" r:id="rId3733" tooltip="Завантажити сертифікат" display="Завантажити сертифікат"/>
    <hyperlink ref="F3745" r:id="rId3734" tooltip="Завантажити сертифікат" display="Завантажити сертифікат"/>
    <hyperlink ref="F3746" r:id="rId3735" tooltip="Завантажити сертифікат" display="Завантажити сертифікат"/>
    <hyperlink ref="F3747" r:id="rId3736" tooltip="Завантажити сертифікат" display="Завантажити сертифікат"/>
    <hyperlink ref="F3748" r:id="rId3737" tooltip="Завантажити сертифікат" display="Завантажити сертифікат"/>
    <hyperlink ref="F3749" r:id="rId3738" tooltip="Завантажити сертифікат" display="Завантажити сертифікат"/>
    <hyperlink ref="F3750" r:id="rId3739" tooltip="Завантажити сертифікат" display="Завантажити сертифікат"/>
    <hyperlink ref="F3751" r:id="rId3740" tooltip="Завантажити сертифікат" display="Завантажити сертифікат"/>
    <hyperlink ref="F3752" r:id="rId3741" tooltip="Завантажити сертифікат" display="Завантажити сертифікат"/>
    <hyperlink ref="F3753" r:id="rId3742" tooltip="Завантажити сертифікат" display="Завантажити сертифікат"/>
    <hyperlink ref="F3754" r:id="rId3743" tooltip="Завантажити сертифікат" display="Завантажити сертифікат"/>
    <hyperlink ref="F3755" r:id="rId3744" tooltip="Завантажити сертифікат" display="Завантажити сертифікат"/>
    <hyperlink ref="F3756" r:id="rId3745" tooltip="Завантажити сертифікат" display="Завантажити сертифікат"/>
    <hyperlink ref="F3757" r:id="rId3746" tooltip="Завантажити сертифікат" display="Завантажити сертифікат"/>
    <hyperlink ref="F3758" r:id="rId3747" tooltip="Завантажити сертифікат" display="Завантажити сертифікат"/>
    <hyperlink ref="F3759" r:id="rId3748" tooltip="Завантажити сертифікат" display="Завантажити сертифікат"/>
    <hyperlink ref="F3760" r:id="rId3749" tooltip="Завантажити сертифікат" display="Завантажити сертифікат"/>
    <hyperlink ref="F3761" r:id="rId3750" tooltip="Завантажити сертифікат" display="Завантажити сертифікат"/>
    <hyperlink ref="F3762" r:id="rId3751" tooltip="Завантажити сертифікат" display="Завантажити сертифікат"/>
    <hyperlink ref="F3763" r:id="rId3752" tooltip="Завантажити сертифікат" display="Завантажити сертифікат"/>
    <hyperlink ref="F3764" r:id="rId3753" tooltip="Завантажити сертифікат" display="Завантажити сертифікат"/>
    <hyperlink ref="F3765" r:id="rId3754" tooltip="Завантажити сертифікат" display="Завантажити сертифікат"/>
    <hyperlink ref="F3766" r:id="rId3755" tooltip="Завантажити сертифікат" display="Завантажити сертифікат"/>
    <hyperlink ref="F3767" r:id="rId3756" tooltip="Завантажити сертифікат" display="Завантажити сертифікат"/>
    <hyperlink ref="F3768" r:id="rId3757" tooltip="Завантажити сертифікат" display="Завантажити сертифікат"/>
    <hyperlink ref="F3769" r:id="rId3758" tooltip="Завантажити сертифікат" display="Завантажити сертифікат"/>
    <hyperlink ref="F3770" r:id="rId3759" tooltip="Завантажити сертифікат" display="Завантажити сертифікат"/>
    <hyperlink ref="F3771" r:id="rId3760" tooltip="Завантажити сертифікат" display="Завантажити сертифікат"/>
    <hyperlink ref="F3772" r:id="rId3761" tooltip="Завантажити сертифікат" display="Завантажити сертифікат"/>
    <hyperlink ref="F3773" r:id="rId3762" tooltip="Завантажити сертифікат" display="Завантажити сертифікат"/>
    <hyperlink ref="F3774" r:id="rId3763" tooltip="Завантажити сертифікат" display="Завантажити сертифікат"/>
    <hyperlink ref="F3775" r:id="rId3764" tooltip="Завантажити сертифікат" display="Завантажити сертифікат"/>
    <hyperlink ref="F3776" r:id="rId3765" tooltip="Завантажити сертифікат" display="Завантажити сертифікат"/>
    <hyperlink ref="F3777" r:id="rId3766" tooltip="Завантажити сертифікат" display="Завантажити сертифікат"/>
    <hyperlink ref="F3778" r:id="rId3767" tooltip="Завантажити сертифікат" display="Завантажити сертифікат"/>
    <hyperlink ref="F3779" r:id="rId3768" tooltip="Завантажити сертифікат" display="Завантажити сертифікат"/>
    <hyperlink ref="F3780" r:id="rId3769" tooltip="Завантажити сертифікат" display="Завантажити сертифікат"/>
    <hyperlink ref="F3781" r:id="rId3770" tooltip="Завантажити сертифікат" display="Завантажити сертифікат"/>
    <hyperlink ref="F3782" r:id="rId3771" tooltip="Завантажити сертифікат" display="Завантажити сертифікат"/>
    <hyperlink ref="F3783" r:id="rId3772" tooltip="Завантажити сертифікат" display="Завантажити сертифікат"/>
    <hyperlink ref="F3784" r:id="rId3773" tooltip="Завантажити сертифікат" display="Завантажити сертифікат"/>
    <hyperlink ref="F3785" r:id="rId3774" tooltip="Завантажити сертифікат" display="Завантажити сертифікат"/>
    <hyperlink ref="F3786" r:id="rId3775" tooltip="Завантажити сертифікат" display="Завантажити сертифікат"/>
    <hyperlink ref="F3787" r:id="rId3776" tooltip="Завантажити сертифікат" display="Завантажити сертифікат"/>
    <hyperlink ref="F3788" r:id="rId3777" tooltip="Завантажити сертифікат" display="Завантажити сертифікат"/>
    <hyperlink ref="F3789" r:id="rId3778" tooltip="Завантажити сертифікат" display="Завантажити сертифікат"/>
    <hyperlink ref="F3790" r:id="rId3779" tooltip="Завантажити сертифікат" display="Завантажити сертифікат"/>
    <hyperlink ref="F3791" r:id="rId3780" tooltip="Завантажити сертифікат" display="Завантажити сертифікат"/>
    <hyperlink ref="F3792" r:id="rId3781" tooltip="Завантажити сертифікат" display="Завантажити сертифікат"/>
    <hyperlink ref="F3793" r:id="rId3782" tooltip="Завантажити сертифікат" display="Завантажити сертифікат"/>
    <hyperlink ref="F3794" r:id="rId3783" tooltip="Завантажити сертифікат" display="Завантажити сертифікат"/>
    <hyperlink ref="F3795" r:id="rId3784" tooltip="Завантажити сертифікат" display="Завантажити сертифікат"/>
    <hyperlink ref="F3796" r:id="rId3785" tooltip="Завантажити сертифікат" display="Завантажити сертифікат"/>
    <hyperlink ref="F3797" r:id="rId3786" tooltip="Завантажити сертифікат" display="Завантажити сертифікат"/>
    <hyperlink ref="F3798" r:id="rId3787" tooltip="Завантажити сертифікат" display="Завантажити сертифікат"/>
    <hyperlink ref="F3799" r:id="rId3788" tooltip="Завантажити сертифікат" display="Завантажити сертифікат"/>
    <hyperlink ref="F3800" r:id="rId3789" tooltip="Завантажити сертифікат" display="Завантажити сертифікат"/>
    <hyperlink ref="F3801" r:id="rId3790" tooltip="Завантажити сертифікат" display="Завантажити сертифікат"/>
    <hyperlink ref="F3802" r:id="rId3791" tooltip="Завантажити сертифікат" display="Завантажити сертифікат"/>
    <hyperlink ref="F3803" r:id="rId3792" tooltip="Завантажити сертифікат" display="Завантажити сертифікат"/>
    <hyperlink ref="F3804" r:id="rId3793" tooltip="Завантажити сертифікат" display="Завантажити сертифікат"/>
    <hyperlink ref="F3805" r:id="rId3794" tooltip="Завантажити сертифікат" display="Завантажити сертифікат"/>
    <hyperlink ref="F3806" r:id="rId3795" tooltip="Завантажити сертифікат" display="Завантажити сертифікат"/>
    <hyperlink ref="F3807" r:id="rId3796" tooltip="Завантажити сертифікат" display="Завантажити сертифікат"/>
    <hyperlink ref="F3808" r:id="rId3797" tooltip="Завантажити сертифікат" display="Завантажити сертифікат"/>
    <hyperlink ref="F3809" r:id="rId3798" tooltip="Завантажити сертифікат" display="Завантажити сертифікат"/>
    <hyperlink ref="F3810" r:id="rId3799" tooltip="Завантажити сертифікат" display="Завантажити сертифікат"/>
    <hyperlink ref="F3811" r:id="rId3800" tooltip="Завантажити сертифікат" display="Завантажити сертифікат"/>
    <hyperlink ref="F3812" r:id="rId3801" tooltip="Завантажити сертифікат" display="Завантажити сертифікат"/>
    <hyperlink ref="F3813" r:id="rId3802" tooltip="Завантажити сертифікат" display="Завантажити сертифікат"/>
    <hyperlink ref="F3814" r:id="rId3803" tooltip="Завантажити сертифікат" display="Завантажити сертифікат"/>
    <hyperlink ref="F3815" r:id="rId3804" tooltip="Завантажити сертифікат" display="Завантажити сертифікат"/>
    <hyperlink ref="F3816" r:id="rId3805" tooltip="Завантажити сертифікат" display="Завантажити сертифікат"/>
    <hyperlink ref="F3817" r:id="rId3806" tooltip="Завантажити сертифікат" display="Завантажити сертифікат"/>
    <hyperlink ref="F3818" r:id="rId3807" tooltip="Завантажити сертифікат" display="Завантажити сертифікат"/>
    <hyperlink ref="F3819" r:id="rId3808" tooltip="Завантажити сертифікат" display="Завантажити сертифікат"/>
    <hyperlink ref="F3820" r:id="rId3809" tooltip="Завантажити сертифікат" display="Завантажити сертифікат"/>
    <hyperlink ref="F3821" r:id="rId3810" tooltip="Завантажити сертифікат" display="Завантажити сертифікат"/>
    <hyperlink ref="F3822" r:id="rId3811" tooltip="Завантажити сертифікат" display="Завантажити сертифікат"/>
    <hyperlink ref="F3823" r:id="rId3812" tooltip="Завантажити сертифікат" display="Завантажити сертифікат"/>
    <hyperlink ref="F3824" r:id="rId3813" tooltip="Завантажити сертифікат" display="Завантажити сертифікат"/>
    <hyperlink ref="F3825" r:id="rId3814" tooltip="Завантажити сертифікат" display="Завантажити сертифікат"/>
    <hyperlink ref="F3826" r:id="rId3815" tooltip="Завантажити сертифікат" display="Завантажити сертифікат"/>
    <hyperlink ref="F3827" r:id="rId3816" tooltip="Завантажити сертифікат" display="Завантажити сертифікат"/>
    <hyperlink ref="F3828" r:id="rId3817" tooltip="Завантажити сертифікат" display="Завантажити сертифікат"/>
    <hyperlink ref="F3829" r:id="rId3818" tooltip="Завантажити сертифікат" display="Завантажити сертифікат"/>
    <hyperlink ref="F3830" r:id="rId3819" tooltip="Завантажити сертифікат" display="Завантажити сертифікат"/>
    <hyperlink ref="F3831" r:id="rId3820" tooltip="Завантажити сертифікат" display="Завантажити сертифікат"/>
    <hyperlink ref="F3832" r:id="rId3821" tooltip="Завантажити сертифікат" display="Завантажити сертифікат"/>
    <hyperlink ref="F3833" r:id="rId3822" tooltip="Завантажити сертифікат" display="Завантажити сертифікат"/>
    <hyperlink ref="F3834" r:id="rId3823" tooltip="Завантажити сертифікат" display="Завантажити сертифікат"/>
    <hyperlink ref="F3835" r:id="rId3824" tooltip="Завантажити сертифікат" display="Завантажити сертифікат"/>
    <hyperlink ref="F3836" r:id="rId3825" tooltip="Завантажити сертифікат" display="Завантажити сертифікат"/>
    <hyperlink ref="F3837" r:id="rId3826" tooltip="Завантажити сертифікат" display="Завантажити сертифікат"/>
    <hyperlink ref="F3838" r:id="rId3827" tooltip="Завантажити сертифікат" display="Завантажити сертифікат"/>
    <hyperlink ref="F3839" r:id="rId3828" tooltip="Завантажити сертифікат" display="Завантажити сертифікат"/>
    <hyperlink ref="F3840" r:id="rId3829" tooltip="Завантажити сертифікат" display="Завантажити сертифікат"/>
    <hyperlink ref="F3841" r:id="rId3830" tooltip="Завантажити сертифікат" display="Завантажити сертифікат"/>
    <hyperlink ref="F3842" r:id="rId3831" tooltip="Завантажити сертифікат" display="Завантажити сертифікат"/>
    <hyperlink ref="F3843" r:id="rId3832" tooltip="Завантажити сертифікат" display="Завантажити сертифікат"/>
    <hyperlink ref="F3844" r:id="rId3833" tooltip="Завантажити сертифікат" display="Завантажити сертифікат"/>
    <hyperlink ref="F3845" r:id="rId3834" tooltip="Завантажити сертифікат" display="Завантажити сертифікат"/>
    <hyperlink ref="F3846" r:id="rId3835" tooltip="Завантажити сертифікат" display="Завантажити сертифікат"/>
    <hyperlink ref="F3847" r:id="rId3836" tooltip="Завантажити сертифікат" display="Завантажити сертифікат"/>
    <hyperlink ref="F3848" r:id="rId3837" tooltip="Завантажити сертифікат" display="Завантажити сертифікат"/>
    <hyperlink ref="F3849" r:id="rId3838" tooltip="Завантажити сертифікат" display="Завантажити сертифікат"/>
    <hyperlink ref="F3850" r:id="rId3839" tooltip="Завантажити сертифікат" display="Завантажити сертифікат"/>
    <hyperlink ref="F3851" r:id="rId3840" tooltip="Завантажити сертифікат" display="Завантажити сертифікат"/>
    <hyperlink ref="F3852" r:id="rId3841" tooltip="Завантажити сертифікат" display="Завантажити сертифікат"/>
    <hyperlink ref="F3853" r:id="rId3842" tooltip="Завантажити сертифікат" display="Завантажити сертифікат"/>
    <hyperlink ref="F3854" r:id="rId3843" tooltip="Завантажити сертифікат" display="Завантажити сертифікат"/>
    <hyperlink ref="F3855" r:id="rId3844" tooltip="Завантажити сертифікат" display="Завантажити сертифікат"/>
    <hyperlink ref="F3856" r:id="rId3845" tooltip="Завантажити сертифікат" display="Завантажити сертифікат"/>
    <hyperlink ref="F3857" r:id="rId3846" tooltip="Завантажити сертифікат" display="Завантажити сертифікат"/>
    <hyperlink ref="F3858" r:id="rId3847" tooltip="Завантажити сертифікат" display="Завантажити сертифікат"/>
    <hyperlink ref="F3859" r:id="rId3848" tooltip="Завантажити сертифікат" display="Завантажити сертифікат"/>
    <hyperlink ref="F3860" r:id="rId3849" tooltip="Завантажити сертифікат" display="Завантажити сертифікат"/>
    <hyperlink ref="F3861" r:id="rId3850" tooltip="Завантажити сертифікат" display="Завантажити сертифікат"/>
    <hyperlink ref="F3862" r:id="rId3851" tooltip="Завантажити сертифікат" display="Завантажити сертифікат"/>
    <hyperlink ref="F3863" r:id="rId3852" tooltip="Завантажити сертифікат" display="Завантажити сертифікат"/>
    <hyperlink ref="F3864" r:id="rId3853" tooltip="Завантажити сертифікат" display="Завантажити сертифікат"/>
    <hyperlink ref="F3865" r:id="rId3854" tooltip="Завантажити сертифікат" display="Завантажити сертифікат"/>
    <hyperlink ref="F3866" r:id="rId3855" tooltip="Завантажити сертифікат" display="Завантажити сертифікат"/>
    <hyperlink ref="F3867" r:id="rId3856" tooltip="Завантажити сертифікат" display="Завантажити сертифікат"/>
    <hyperlink ref="F3868" r:id="rId3857" tooltip="Завантажити сертифікат" display="Завантажити сертифікат"/>
    <hyperlink ref="F3869" r:id="rId3858" tooltip="Завантажити сертифікат" display="Завантажити сертифікат"/>
    <hyperlink ref="F3870" r:id="rId3859" tooltip="Завантажити сертифікат" display="Завантажити сертифікат"/>
    <hyperlink ref="F3871" r:id="rId3860" tooltip="Завантажити сертифікат" display="Завантажити сертифікат"/>
    <hyperlink ref="F3872" r:id="rId3861" tooltip="Завантажити сертифікат" display="Завантажити сертифікат"/>
    <hyperlink ref="F3873" r:id="rId3862" tooltip="Завантажити сертифікат" display="Завантажити сертифікат"/>
    <hyperlink ref="F3874" r:id="rId3863" tooltip="Завантажити сертифікат" display="Завантажити сертифікат"/>
    <hyperlink ref="F3875" r:id="rId3864" tooltip="Завантажити сертифікат" display="Завантажити сертифікат"/>
    <hyperlink ref="F3876" r:id="rId3865" tooltip="Завантажити сертифікат" display="Завантажити сертифікат"/>
    <hyperlink ref="F3877" r:id="rId3866" tooltip="Завантажити сертифікат" display="Завантажити сертифікат"/>
    <hyperlink ref="F3878" r:id="rId3867" tooltip="Завантажити сертифікат" display="Завантажити сертифікат"/>
    <hyperlink ref="F3879" r:id="rId3868" tooltip="Завантажити сертифікат" display="Завантажити сертифікат"/>
    <hyperlink ref="F3880" r:id="rId3869" tooltip="Завантажити сертифікат" display="Завантажити сертифікат"/>
    <hyperlink ref="F3881" r:id="rId3870" tooltip="Завантажити сертифікат" display="Завантажити сертифікат"/>
    <hyperlink ref="F3882" r:id="rId3871" tooltip="Завантажити сертифікат" display="Завантажити сертифікат"/>
    <hyperlink ref="F3883" r:id="rId3872" tooltip="Завантажити сертифікат" display="Завантажити сертифікат"/>
    <hyperlink ref="F3884" r:id="rId3873" tooltip="Завантажити сертифікат" display="Завантажити сертифікат"/>
    <hyperlink ref="F3885" r:id="rId3874" tooltip="Завантажити сертифікат" display="Завантажити сертифікат"/>
    <hyperlink ref="F3886" r:id="rId3875" tooltip="Завантажити сертифікат" display="Завантажити сертифікат"/>
    <hyperlink ref="F3887" r:id="rId3876" tooltip="Завантажити сертифікат" display="Завантажити сертифікат"/>
    <hyperlink ref="F3888" r:id="rId3877" tooltip="Завантажити сертифікат" display="Завантажити сертифікат"/>
    <hyperlink ref="F3889" r:id="rId3878" tooltip="Завантажити сертифікат" display="Завантажити сертифікат"/>
    <hyperlink ref="F3890" r:id="rId3879" tooltip="Завантажити сертифікат" display="Завантажити сертифікат"/>
    <hyperlink ref="F3891" r:id="rId3880" tooltip="Завантажити сертифікат" display="Завантажити сертифікат"/>
    <hyperlink ref="F3892" r:id="rId3881" tooltip="Завантажити сертифікат" display="Завантажити сертифікат"/>
    <hyperlink ref="F3893" r:id="rId3882" tooltip="Завантажити сертифікат" display="Завантажити сертифікат"/>
    <hyperlink ref="F3894" r:id="rId3883" tooltip="Завантажити сертифікат" display="Завантажити сертифікат"/>
    <hyperlink ref="F3895" r:id="rId3884" tooltip="Завантажити сертифікат" display="Завантажити сертифікат"/>
    <hyperlink ref="F3896" r:id="rId3885" tooltip="Завантажити сертифікат" display="Завантажити сертифікат"/>
    <hyperlink ref="F3897" r:id="rId3886" tooltip="Завантажити сертифікат" display="Завантажити сертифікат"/>
    <hyperlink ref="F3898" r:id="rId3887" tooltip="Завантажити сертифікат" display="Завантажити сертифікат"/>
    <hyperlink ref="F3899" r:id="rId3888" tooltip="Завантажити сертифікат" display="Завантажити сертифікат"/>
    <hyperlink ref="F3900" r:id="rId3889" tooltip="Завантажити сертифікат" display="Завантажити сертифікат"/>
    <hyperlink ref="F3901" r:id="rId3890" tooltip="Завантажити сертифікат" display="Завантажити сертифікат"/>
    <hyperlink ref="F3902" r:id="rId3891" tooltip="Завантажити сертифікат" display="Завантажити сертифікат"/>
    <hyperlink ref="F3903" r:id="rId3892" tooltip="Завантажити сертифікат" display="Завантажити сертифікат"/>
    <hyperlink ref="F3904" r:id="rId3893" tooltip="Завантажити сертифікат" display="Завантажити сертифікат"/>
    <hyperlink ref="F3905" r:id="rId3894" tooltip="Завантажити сертифікат" display="Завантажити сертифікат"/>
    <hyperlink ref="F3906" r:id="rId3895" tooltip="Завантажити сертифікат" display="Завантажити сертифікат"/>
    <hyperlink ref="F3907" r:id="rId3896" tooltip="Завантажити сертифікат" display="Завантажити сертифікат"/>
    <hyperlink ref="F3908" r:id="rId3897" tooltip="Завантажити сертифікат" display="Завантажити сертифікат"/>
    <hyperlink ref="F3909" r:id="rId3898" tooltip="Завантажити сертифікат" display="Завантажити сертифікат"/>
    <hyperlink ref="F3910" r:id="rId3899" tooltip="Завантажити сертифікат" display="Завантажити сертифікат"/>
    <hyperlink ref="F3911" r:id="rId3900" tooltip="Завантажити сертифікат" display="Завантажити сертифікат"/>
    <hyperlink ref="F3912" r:id="rId3901" tooltip="Завантажити сертифікат" display="Завантажити сертифікат"/>
    <hyperlink ref="F3913" r:id="rId3902" tooltip="Завантажити сертифікат" display="Завантажити сертифікат"/>
    <hyperlink ref="F3914" r:id="rId3903" tooltip="Завантажити сертифікат" display="Завантажити сертифікат"/>
    <hyperlink ref="F3915" r:id="rId3904" tooltip="Завантажити сертифікат" display="Завантажити сертифікат"/>
    <hyperlink ref="F3916" r:id="rId3905" tooltip="Завантажити сертифікат" display="Завантажити сертифікат"/>
    <hyperlink ref="F3917" r:id="rId3906" tooltip="Завантажити сертифікат" display="Завантажити сертифікат"/>
    <hyperlink ref="F3918" r:id="rId3907" tooltip="Завантажити сертифікат" display="Завантажити сертифікат"/>
    <hyperlink ref="F3919" r:id="rId3908" tooltip="Завантажити сертифікат" display="Завантажити сертифікат"/>
    <hyperlink ref="F3920" r:id="rId3909" tooltip="Завантажити сертифікат" display="Завантажити сертифікат"/>
    <hyperlink ref="F3921" r:id="rId3910" tooltip="Завантажити сертифікат" display="Завантажити сертифікат"/>
    <hyperlink ref="F3922" r:id="rId3911" tooltip="Завантажити сертифікат" display="Завантажити сертифікат"/>
    <hyperlink ref="F3923" r:id="rId3912" tooltip="Завантажити сертифікат" display="Завантажити сертифікат"/>
    <hyperlink ref="F3924" r:id="rId3913" tooltip="Завантажити сертифікат" display="Завантажити сертифікат"/>
    <hyperlink ref="F3925" r:id="rId3914" tooltip="Завантажити сертифікат" display="Завантажити сертифікат"/>
    <hyperlink ref="F3926" r:id="rId3915" tooltip="Завантажити сертифікат" display="Завантажити сертифікат"/>
    <hyperlink ref="F3927" r:id="rId3916" tooltip="Завантажити сертифікат" display="Завантажити сертифікат"/>
    <hyperlink ref="F3928" r:id="rId3917" tooltip="Завантажити сертифікат" display="Завантажити сертифікат"/>
    <hyperlink ref="F3929" r:id="rId3918" tooltip="Завантажити сертифікат" display="Завантажити сертифікат"/>
    <hyperlink ref="F3930" r:id="rId3919" tooltip="Завантажити сертифікат" display="Завантажити сертифікат"/>
    <hyperlink ref="F3931" r:id="rId3920" tooltip="Завантажити сертифікат" display="Завантажити сертифікат"/>
    <hyperlink ref="F3932" r:id="rId3921" tooltip="Завантажити сертифікат" display="Завантажити сертифікат"/>
    <hyperlink ref="F3933" r:id="rId3922" tooltip="Завантажити сертифікат" display="Завантажити сертифікат"/>
    <hyperlink ref="F3934" r:id="rId3923" tooltip="Завантажити сертифікат" display="Завантажити сертифікат"/>
    <hyperlink ref="F3935" r:id="rId3924" tooltip="Завантажити сертифікат" display="Завантажити сертифікат"/>
    <hyperlink ref="F3936" r:id="rId3925" tooltip="Завантажити сертифікат" display="Завантажити сертифікат"/>
    <hyperlink ref="F3937" r:id="rId3926" tooltip="Завантажити сертифікат" display="Завантажити сертифікат"/>
    <hyperlink ref="F3938" r:id="rId3927" tooltip="Завантажити сертифікат" display="Завантажити сертифікат"/>
    <hyperlink ref="F3939" r:id="rId3928" tooltip="Завантажити сертифікат" display="Завантажити сертифікат"/>
    <hyperlink ref="F3940" r:id="rId3929" tooltip="Завантажити сертифікат" display="Завантажити сертифікат"/>
    <hyperlink ref="F3941" r:id="rId3930" tooltip="Завантажити сертифікат" display="Завантажити сертифікат"/>
    <hyperlink ref="F3942" r:id="rId3931" tooltip="Завантажити сертифікат" display="Завантажити сертифікат"/>
    <hyperlink ref="F3943" r:id="rId3932" tooltip="Завантажити сертифікат" display="Завантажити сертифікат"/>
    <hyperlink ref="F3944" r:id="rId3933" tooltip="Завантажити сертифікат" display="Завантажити сертифікат"/>
    <hyperlink ref="F3945" r:id="rId3934" tooltip="Завантажити сертифікат" display="Завантажити сертифікат"/>
    <hyperlink ref="F3946" r:id="rId3935" tooltip="Завантажити сертифікат" display="Завантажити сертифікат"/>
    <hyperlink ref="F3947" r:id="rId3936" tooltip="Завантажити сертифікат" display="Завантажити сертифікат"/>
    <hyperlink ref="F3948" r:id="rId3937" tooltip="Завантажити сертифікат" display="Завантажити сертифікат"/>
    <hyperlink ref="F3949" r:id="rId3938" tooltip="Завантажити сертифікат" display="Завантажити сертифікат"/>
    <hyperlink ref="F3950" r:id="rId3939" tooltip="Завантажити сертифікат" display="Завантажити сертифікат"/>
    <hyperlink ref="F3951" r:id="rId3940" tooltip="Завантажити сертифікат" display="Завантажити сертифікат"/>
    <hyperlink ref="F3952" r:id="rId3941" tooltip="Завантажити сертифікат" display="Завантажити сертифікат"/>
    <hyperlink ref="F3953" r:id="rId3942" tooltip="Завантажити сертифікат" display="Завантажити сертифікат"/>
    <hyperlink ref="F3954" r:id="rId3943" tooltip="Завантажити сертифікат" display="Завантажити сертифікат"/>
    <hyperlink ref="F3955" r:id="rId3944" tooltip="Завантажити сертифікат" display="Завантажити сертифікат"/>
    <hyperlink ref="F3956" r:id="rId3945" tooltip="Завантажити сертифікат" display="Завантажити сертифікат"/>
    <hyperlink ref="F3957" r:id="rId3946" tooltip="Завантажити сертифікат" display="Завантажити сертифікат"/>
    <hyperlink ref="F3958" r:id="rId3947" tooltip="Завантажити сертифікат" display="Завантажити сертифікат"/>
    <hyperlink ref="F3959" r:id="rId3948" tooltip="Завантажити сертифікат" display="Завантажити сертифікат"/>
    <hyperlink ref="F3960" r:id="rId3949" tooltip="Завантажити сертифікат" display="Завантажити сертифікат"/>
    <hyperlink ref="F3961" r:id="rId3950" tooltip="Завантажити сертифікат" display="Завантажити сертифікат"/>
    <hyperlink ref="F3962" r:id="rId3951" tooltip="Завантажити сертифікат" display="Завантажити сертифікат"/>
    <hyperlink ref="F3963" r:id="rId3952" tooltip="Завантажити сертифікат" display="Завантажити сертифікат"/>
    <hyperlink ref="F3964" r:id="rId3953" tooltip="Завантажити сертифікат" display="Завантажити сертифікат"/>
    <hyperlink ref="F3965" r:id="rId3954" tooltip="Завантажити сертифікат" display="Завантажити сертифікат"/>
    <hyperlink ref="F3966" r:id="rId3955" tooltip="Завантажити сертифікат" display="Завантажити сертифікат"/>
    <hyperlink ref="F3967" r:id="rId3956" tooltip="Завантажити сертифікат" display="Завантажити сертифікат"/>
    <hyperlink ref="F3968" r:id="rId3957" tooltip="Завантажити сертифікат" display="Завантажити сертифікат"/>
    <hyperlink ref="F3969" r:id="rId3958" tooltip="Завантажити сертифікат" display="Завантажити сертифікат"/>
    <hyperlink ref="F3970" r:id="rId3959" tooltip="Завантажити сертифікат" display="Завантажити сертифікат"/>
    <hyperlink ref="F3971" r:id="rId3960" tooltip="Завантажити сертифікат" display="Завантажити сертифікат"/>
    <hyperlink ref="F3972" r:id="rId3961" tooltip="Завантажити сертифікат" display="Завантажити сертифікат"/>
    <hyperlink ref="F3973" r:id="rId3962" tooltip="Завантажити сертифікат" display="Завантажити сертифікат"/>
    <hyperlink ref="F3974" r:id="rId3963" tooltip="Завантажити сертифікат" display="Завантажити сертифікат"/>
    <hyperlink ref="F3975" r:id="rId3964" tooltip="Завантажити сертифікат" display="Завантажити сертифікат"/>
    <hyperlink ref="F3976" r:id="rId3965" tooltip="Завантажити сертифікат" display="Завантажити сертифікат"/>
    <hyperlink ref="F3977" r:id="rId3966" tooltip="Завантажити сертифікат" display="Завантажити сертифікат"/>
    <hyperlink ref="F3978" r:id="rId3967" tooltip="Завантажити сертифікат" display="Завантажити сертифікат"/>
    <hyperlink ref="F3979" r:id="rId3968" tooltip="Завантажити сертифікат" display="Завантажити сертифікат"/>
    <hyperlink ref="F3980" r:id="rId3969" tooltip="Завантажити сертифікат" display="Завантажити сертифікат"/>
    <hyperlink ref="F3981" r:id="rId3970" tooltip="Завантажити сертифікат" display="Завантажити сертифікат"/>
    <hyperlink ref="F3982" r:id="rId3971" tooltip="Завантажити сертифікат" display="Завантажити сертифікат"/>
    <hyperlink ref="F3983" r:id="rId3972" tooltip="Завантажити сертифікат" display="Завантажити сертифікат"/>
    <hyperlink ref="F3984" r:id="rId3973" tooltip="Завантажити сертифікат" display="Завантажити сертифікат"/>
    <hyperlink ref="F3985" r:id="rId3974" tooltip="Завантажити сертифікат" display="Завантажити сертифікат"/>
    <hyperlink ref="F3986" r:id="rId3975" tooltip="Завантажити сертифікат" display="Завантажити сертифікат"/>
    <hyperlink ref="F3987" r:id="rId3976" tooltip="Завантажити сертифікат" display="Завантажити сертифікат"/>
    <hyperlink ref="F3988" r:id="rId3977" tooltip="Завантажити сертифікат" display="Завантажити сертифікат"/>
    <hyperlink ref="F3989" r:id="rId3978" tooltip="Завантажити сертифікат" display="Завантажити сертифікат"/>
    <hyperlink ref="F3990" r:id="rId3979" tooltip="Завантажити сертифікат" display="Завантажити сертифікат"/>
    <hyperlink ref="F3991" r:id="rId3980" tooltip="Завантажити сертифікат" display="Завантажити сертифікат"/>
    <hyperlink ref="F3992" r:id="rId3981" tooltip="Завантажити сертифікат" display="Завантажити сертифікат"/>
    <hyperlink ref="F3993" r:id="rId3982" tooltip="Завантажити сертифікат" display="Завантажити сертифікат"/>
    <hyperlink ref="F3994" r:id="rId3983" tooltip="Завантажити сертифікат" display="Завантажити сертифікат"/>
    <hyperlink ref="F3995" r:id="rId3984" tooltip="Завантажити сертифікат" display="Завантажити сертифікат"/>
    <hyperlink ref="F3996" r:id="rId3985" tooltip="Завантажити сертифікат" display="Завантажити сертифікат"/>
    <hyperlink ref="F3997" r:id="rId3986" tooltip="Завантажити сертифікат" display="Завантажити сертифікат"/>
    <hyperlink ref="F3998" r:id="rId3987" tooltip="Завантажити сертифікат" display="Завантажити сертифікат"/>
    <hyperlink ref="F3999" r:id="rId3988" tooltip="Завантажити сертифікат" display="Завантажити сертифікат"/>
    <hyperlink ref="F4000" r:id="rId3989" tooltip="Завантажити сертифікат" display="Завантажити сертифікат"/>
    <hyperlink ref="F4001" r:id="rId3990" tooltip="Завантажити сертифікат" display="Завантажити сертифікат"/>
    <hyperlink ref="F4002" r:id="rId3991" tooltip="Завантажити сертифікат" display="Завантажити сертифікат"/>
    <hyperlink ref="F4003" r:id="rId3992" tooltip="Завантажити сертифікат" display="Завантажити сертифікат"/>
    <hyperlink ref="F4004" r:id="rId3993" tooltip="Завантажити сертифікат" display="Завантажити сертифікат"/>
    <hyperlink ref="F4005" r:id="rId3994" tooltip="Завантажити сертифікат" display="Завантажити сертифікат"/>
    <hyperlink ref="F4006" r:id="rId3995" tooltip="Завантажити сертифікат" display="Завантажити сертифікат"/>
    <hyperlink ref="F4007" r:id="rId3996" tooltip="Завантажити сертифікат" display="Завантажити сертифікат"/>
    <hyperlink ref="F4008" r:id="rId3997" tooltip="Завантажити сертифікат" display="Завантажити сертифікат"/>
    <hyperlink ref="F4009" r:id="rId3998" tooltip="Завантажити сертифікат" display="Завантажити сертифікат"/>
    <hyperlink ref="F4010" r:id="rId3999" tooltip="Завантажити сертифікат" display="Завантажити сертифікат"/>
    <hyperlink ref="F4011" r:id="rId4000" tooltip="Завантажити сертифікат" display="Завантажити сертифікат"/>
    <hyperlink ref="F4012" r:id="rId4001" tooltip="Завантажити сертифікат" display="Завантажити сертифікат"/>
    <hyperlink ref="F4013" r:id="rId4002" tooltip="Завантажити сертифікат" display="Завантажити сертифікат"/>
    <hyperlink ref="F4014" r:id="rId4003" tooltip="Завантажити сертифікат" display="Завантажити сертифікат"/>
    <hyperlink ref="F4015" r:id="rId4004" tooltip="Завантажити сертифікат" display="Завантажити сертифікат"/>
    <hyperlink ref="F4016" r:id="rId4005" tooltip="Завантажити сертифікат" display="Завантажити сертифікат"/>
    <hyperlink ref="F4017" r:id="rId4006" tooltip="Завантажити сертифікат" display="Завантажити сертифікат"/>
    <hyperlink ref="F4018" r:id="rId4007" tooltip="Завантажити сертифікат" display="Завантажити сертифікат"/>
    <hyperlink ref="F4019" r:id="rId4008" tooltip="Завантажити сертифікат" display="Завантажити сертифікат"/>
    <hyperlink ref="F4020" r:id="rId4009" tooltip="Завантажити сертифікат" display="Завантажити сертифікат"/>
    <hyperlink ref="F4021" r:id="rId4010" tooltip="Завантажити сертифікат" display="Завантажити сертифікат"/>
    <hyperlink ref="F4022" r:id="rId4011" tooltip="Завантажити сертифікат" display="Завантажити сертифікат"/>
    <hyperlink ref="F4023" r:id="rId4012" tooltip="Завантажити сертифікат" display="Завантажити сертифікат"/>
    <hyperlink ref="F4024" r:id="rId4013" tooltip="Завантажити сертифікат" display="Завантажити сертифікат"/>
    <hyperlink ref="F4025" r:id="rId4014" tooltip="Завантажити сертифікат" display="Завантажити сертифікат"/>
    <hyperlink ref="F4026" r:id="rId4015" tooltip="Завантажити сертифікат" display="Завантажити сертифікат"/>
    <hyperlink ref="F4027" r:id="rId4016" tooltip="Завантажити сертифікат" display="Завантажити сертифікат"/>
    <hyperlink ref="F4028" r:id="rId4017" tooltip="Завантажити сертифікат" display="Завантажити сертифікат"/>
    <hyperlink ref="F4029" r:id="rId4018" tooltip="Завантажити сертифікат" display="Завантажити сертифікат"/>
    <hyperlink ref="F4030" r:id="rId4019" tooltip="Завантажити сертифікат" display="Завантажити сертифікат"/>
    <hyperlink ref="F4031" r:id="rId4020" tooltip="Завантажити сертифікат" display="Завантажити сертифікат"/>
    <hyperlink ref="F4032" r:id="rId4021" tooltip="Завантажити сертифікат" display="Завантажити сертифікат"/>
    <hyperlink ref="F4033" r:id="rId4022" tooltip="Завантажити сертифікат" display="Завантажити сертифікат"/>
    <hyperlink ref="F4034" r:id="rId4023" tooltip="Завантажити сертифікат" display="Завантажити сертифікат"/>
    <hyperlink ref="F4035" r:id="rId4024" tooltip="Завантажити сертифікат" display="Завантажити сертифікат"/>
    <hyperlink ref="F4036" r:id="rId4025" tooltip="Завантажити сертифікат" display="Завантажити сертифікат"/>
    <hyperlink ref="F4037" r:id="rId4026" tooltip="Завантажити сертифікат" display="Завантажити сертифікат"/>
    <hyperlink ref="F4038" r:id="rId4027" tooltip="Завантажити сертифікат" display="Завантажити сертифікат"/>
    <hyperlink ref="F4039" r:id="rId4028" tooltip="Завантажити сертифікат" display="Завантажити сертифікат"/>
    <hyperlink ref="F4040" r:id="rId4029" tooltip="Завантажити сертифікат" display="Завантажити сертифікат"/>
    <hyperlink ref="F4041" r:id="rId4030" tooltip="Завантажити сертифікат" display="Завантажити сертифікат"/>
    <hyperlink ref="F4042" r:id="rId4031" tooltip="Завантажити сертифікат" display="Завантажити сертифікат"/>
    <hyperlink ref="F4043" r:id="rId4032" tooltip="Завантажити сертифікат" display="Завантажити сертифікат"/>
    <hyperlink ref="F4044" r:id="rId4033" tooltip="Завантажити сертифікат" display="Завантажити сертифікат"/>
    <hyperlink ref="F4045" r:id="rId4034" tooltip="Завантажити сертифікат" display="Завантажити сертифікат"/>
    <hyperlink ref="F4046" r:id="rId4035" tooltip="Завантажити сертифікат" display="Завантажити сертифікат"/>
    <hyperlink ref="F4047" r:id="rId4036" tooltip="Завантажити сертифікат" display="Завантажити сертифікат"/>
    <hyperlink ref="F4048" r:id="rId4037" tooltip="Завантажити сертифікат" display="Завантажити сертифікат"/>
    <hyperlink ref="F4049" r:id="rId4038" tooltip="Завантажити сертифікат" display="Завантажити сертифікат"/>
    <hyperlink ref="F4050" r:id="rId4039" tooltip="Завантажити сертифікат" display="Завантажити сертифікат"/>
    <hyperlink ref="F4051" r:id="rId4040" tooltip="Завантажити сертифікат" display="Завантажити сертифікат"/>
    <hyperlink ref="F4052" r:id="rId4041" tooltip="Завантажити сертифікат" display="Завантажити сертифікат"/>
    <hyperlink ref="F4053" r:id="rId4042" tooltip="Завантажити сертифікат" display="Завантажити сертифікат"/>
    <hyperlink ref="F4054" r:id="rId4043" tooltip="Завантажити сертифікат" display="Завантажити сертифікат"/>
    <hyperlink ref="F4055" r:id="rId4044" tooltip="Завантажити сертифікат" display="Завантажити сертифікат"/>
    <hyperlink ref="F4056" r:id="rId4045" tooltip="Завантажити сертифікат" display="Завантажити сертифікат"/>
    <hyperlink ref="F4057" r:id="rId4046" tooltip="Завантажити сертифікат" display="Завантажити сертифікат"/>
    <hyperlink ref="F4058" r:id="rId4047" tooltip="Завантажити сертифікат" display="Завантажити сертифікат"/>
    <hyperlink ref="F4059" r:id="rId4048" tooltip="Завантажити сертифікат" display="Завантажити сертифікат"/>
    <hyperlink ref="F4060" r:id="rId4049" tooltip="Завантажити сертифікат" display="Завантажити сертифікат"/>
    <hyperlink ref="F4061" r:id="rId4050" tooltip="Завантажити сертифікат" display="Завантажити сертифікат"/>
    <hyperlink ref="F4062" r:id="rId4051" tooltip="Завантажити сертифікат" display="Завантажити сертифікат"/>
    <hyperlink ref="F4063" r:id="rId4052" tooltip="Завантажити сертифікат" display="Завантажити сертифікат"/>
    <hyperlink ref="F4064" r:id="rId4053" tooltip="Завантажити сертифікат" display="Завантажити сертифікат"/>
    <hyperlink ref="F4065" r:id="rId4054" tooltip="Завантажити сертифікат" display="Завантажити сертифікат"/>
    <hyperlink ref="F4066" r:id="rId4055" tooltip="Завантажити сертифікат" display="Завантажити сертифікат"/>
    <hyperlink ref="F4067" r:id="rId4056" tooltip="Завантажити сертифікат" display="Завантажити сертифікат"/>
    <hyperlink ref="F4068" r:id="rId4057" tooltip="Завантажити сертифікат" display="Завантажити сертифікат"/>
    <hyperlink ref="F4069" r:id="rId4058" tooltip="Завантажити сертифікат" display="Завантажити сертифікат"/>
    <hyperlink ref="F4070" r:id="rId4059" tooltip="Завантажити сертифікат" display="Завантажити сертифікат"/>
    <hyperlink ref="F4071" r:id="rId4060" tooltip="Завантажити сертифікат" display="Завантажити сертифікат"/>
    <hyperlink ref="F4072" r:id="rId4061" tooltip="Завантажити сертифікат" display="Завантажити сертифікат"/>
    <hyperlink ref="F4073" r:id="rId4062" tooltip="Завантажити сертифікат" display="Завантажити сертифікат"/>
    <hyperlink ref="F4074" r:id="rId4063" tooltip="Завантажити сертифікат" display="Завантажити сертифікат"/>
    <hyperlink ref="F4075" r:id="rId4064" tooltip="Завантажити сертифікат" display="Завантажити сертифікат"/>
    <hyperlink ref="F4076" r:id="rId4065" tooltip="Завантажити сертифікат" display="Завантажити сертифікат"/>
    <hyperlink ref="F4077" r:id="rId4066" tooltip="Завантажити сертифікат" display="Завантажити сертифікат"/>
    <hyperlink ref="F4078" r:id="rId4067" tooltip="Завантажити сертифікат" display="Завантажити сертифікат"/>
    <hyperlink ref="F4079" r:id="rId4068" tooltip="Завантажити сертифікат" display="Завантажити сертифікат"/>
    <hyperlink ref="F4080" r:id="rId4069" tooltip="Завантажити сертифікат" display="Завантажити сертифікат"/>
    <hyperlink ref="F4081" r:id="rId4070" tooltip="Завантажити сертифікат" display="Завантажити сертифікат"/>
    <hyperlink ref="F4082" r:id="rId4071" tooltip="Завантажити сертифікат" display="Завантажити сертифікат"/>
    <hyperlink ref="F4083" r:id="rId4072" tooltip="Завантажити сертифікат" display="Завантажити сертифікат"/>
    <hyperlink ref="F4084" r:id="rId4073" tooltip="Завантажити сертифікат" display="Завантажити сертифікат"/>
    <hyperlink ref="F4085" r:id="rId4074" tooltip="Завантажити сертифікат" display="Завантажити сертифікат"/>
    <hyperlink ref="F4086" r:id="rId4075" tooltip="Завантажити сертифікат" display="Завантажити сертифікат"/>
    <hyperlink ref="F4087" r:id="rId4076" tooltip="Завантажити сертифікат" display="Завантажити сертифікат"/>
    <hyperlink ref="F4088" r:id="rId4077" tooltip="Завантажити сертифікат" display="Завантажити сертифікат"/>
    <hyperlink ref="F4089" r:id="rId4078" tooltip="Завантажити сертифікат" display="Завантажити сертифікат"/>
    <hyperlink ref="F4090" r:id="rId4079" tooltip="Завантажити сертифікат" display="Завантажити сертифікат"/>
    <hyperlink ref="F4091" r:id="rId4080" tooltip="Завантажити сертифікат" display="Завантажити сертифікат"/>
    <hyperlink ref="F4092" r:id="rId4081" tooltip="Завантажити сертифікат" display="Завантажити сертифікат"/>
    <hyperlink ref="F4093" r:id="rId4082" tooltip="Завантажити сертифікат" display="Завантажити сертифікат"/>
    <hyperlink ref="F4094" r:id="rId4083" tooltip="Завантажити сертифікат" display="Завантажити сертифікат"/>
    <hyperlink ref="F4095" r:id="rId4084" tooltip="Завантажити сертифікат" display="Завантажити сертифікат"/>
    <hyperlink ref="F4096" r:id="rId4085" tooltip="Завантажити сертифікат" display="Завантажити сертифікат"/>
    <hyperlink ref="F4097" r:id="rId4086" tooltip="Завантажити сертифікат" display="Завантажити сертифікат"/>
    <hyperlink ref="F4098" r:id="rId4087" tooltip="Завантажити сертифікат" display="Завантажити сертифікат"/>
    <hyperlink ref="F4099" r:id="rId4088" tooltip="Завантажити сертифікат" display="Завантажити сертифікат"/>
    <hyperlink ref="F4100" r:id="rId4089" tooltip="Завантажити сертифікат" display="Завантажити сертифікат"/>
    <hyperlink ref="F4101" r:id="rId4090" tooltip="Завантажити сертифікат" display="Завантажити сертифікат"/>
    <hyperlink ref="F4102" r:id="rId4091" tooltip="Завантажити сертифікат" display="Завантажити сертифікат"/>
    <hyperlink ref="F4103" r:id="rId4092" tooltip="Завантажити сертифікат" display="Завантажити сертифікат"/>
    <hyperlink ref="F4104" r:id="rId4093" tooltip="Завантажити сертифікат" display="Завантажити сертифікат"/>
    <hyperlink ref="F4105" r:id="rId4094" tooltip="Завантажити сертифікат" display="Завантажити сертифікат"/>
    <hyperlink ref="F4106" r:id="rId4095" tooltip="Завантажити сертифікат" display="Завантажити сертифікат"/>
    <hyperlink ref="F4107" r:id="rId4096" tooltip="Завантажити сертифікат" display="Завантажити сертифікат"/>
    <hyperlink ref="F4108" r:id="rId4097" tooltip="Завантажити сертифікат" display="Завантажити сертифікат"/>
    <hyperlink ref="F4109" r:id="rId4098" tooltip="Завантажити сертифікат" display="Завантажити сертифікат"/>
    <hyperlink ref="F4110" r:id="rId4099" tooltip="Завантажити сертифікат" display="Завантажити сертифікат"/>
    <hyperlink ref="F4111" r:id="rId4100" tooltip="Завантажити сертифікат" display="Завантажити сертифікат"/>
    <hyperlink ref="F4112" r:id="rId4101" tooltip="Завантажити сертифікат" display="Завантажити сертифікат"/>
    <hyperlink ref="F4113" r:id="rId4102" tooltip="Завантажити сертифікат" display="Завантажити сертифікат"/>
    <hyperlink ref="F4114" r:id="rId4103" tooltip="Завантажити сертифікат" display="Завантажити сертифікат"/>
    <hyperlink ref="F4115" r:id="rId4104" tooltip="Завантажити сертифікат" display="Завантажити сертифікат"/>
    <hyperlink ref="F4116" r:id="rId4105" tooltip="Завантажити сертифікат" display="Завантажити сертифікат"/>
    <hyperlink ref="F4117" r:id="rId4106" tooltip="Завантажити сертифікат" display="Завантажити сертифікат"/>
    <hyperlink ref="F4118" r:id="rId4107" tooltip="Завантажити сертифікат" display="Завантажити сертифікат"/>
    <hyperlink ref="F4119" r:id="rId4108" tooltip="Завантажити сертифікат" display="Завантажити сертифікат"/>
    <hyperlink ref="F4120" r:id="rId4109" tooltip="Завантажити сертифікат" display="Завантажити сертифікат"/>
    <hyperlink ref="F4121" r:id="rId4110" tooltip="Завантажити сертифікат" display="Завантажити сертифікат"/>
    <hyperlink ref="F4122" r:id="rId4111" tooltip="Завантажити сертифікат" display="Завантажити сертифікат"/>
    <hyperlink ref="F4123" r:id="rId4112" tooltip="Завантажити сертифікат" display="Завантажити сертифікат"/>
    <hyperlink ref="F4124" r:id="rId4113" tooltip="Завантажити сертифікат" display="Завантажити сертифікат"/>
    <hyperlink ref="F4125" r:id="rId4114" tooltip="Завантажити сертифікат" display="Завантажити сертифікат"/>
    <hyperlink ref="F4126" r:id="rId4115" tooltip="Завантажити сертифікат" display="Завантажити сертифікат"/>
    <hyperlink ref="F4127" r:id="rId4116" tooltip="Завантажити сертифікат" display="Завантажити сертифікат"/>
    <hyperlink ref="F4128" r:id="rId4117" tooltip="Завантажити сертифікат" display="Завантажити сертифікат"/>
    <hyperlink ref="F4129" r:id="rId4118" tooltip="Завантажити сертифікат" display="Завантажити сертифікат"/>
    <hyperlink ref="F4130" r:id="rId4119" tooltip="Завантажити сертифікат" display="Завантажити сертифікат"/>
    <hyperlink ref="F4131" r:id="rId4120" tooltip="Завантажити сертифікат" display="Завантажити сертифікат"/>
    <hyperlink ref="F4132" r:id="rId4121" tooltip="Завантажити сертифікат" display="Завантажити сертифікат"/>
    <hyperlink ref="F4133" r:id="rId4122" tooltip="Завантажити сертифікат" display="Завантажити сертифікат"/>
    <hyperlink ref="F4134" r:id="rId4123" tooltip="Завантажити сертифікат" display="Завантажити сертифікат"/>
    <hyperlink ref="F4135" r:id="rId4124" tooltip="Завантажити сертифікат" display="Завантажити сертифікат"/>
    <hyperlink ref="F4136" r:id="rId4125" tooltip="Завантажити сертифікат" display="Завантажити сертифікат"/>
    <hyperlink ref="F4137" r:id="rId4126" tooltip="Завантажити сертифікат" display="Завантажити сертифікат"/>
    <hyperlink ref="F4138" r:id="rId4127" tooltip="Завантажити сертифікат" display="Завантажити сертифікат"/>
    <hyperlink ref="F4139" r:id="rId4128" tooltip="Завантажити сертифікат" display="Завантажити сертифікат"/>
    <hyperlink ref="F4140" r:id="rId4129" tooltip="Завантажити сертифікат" display="Завантажити сертифікат"/>
    <hyperlink ref="F4141" r:id="rId4130" tooltip="Завантажити сертифікат" display="Завантажити сертифікат"/>
    <hyperlink ref="F4142" r:id="rId4131" tooltip="Завантажити сертифікат" display="Завантажити сертифікат"/>
    <hyperlink ref="F4143" r:id="rId4132" tooltip="Завантажити сертифікат" display="Завантажити сертифікат"/>
    <hyperlink ref="F4144" r:id="rId4133" tooltip="Завантажити сертифікат" display="Завантажити сертифікат"/>
    <hyperlink ref="F4145" r:id="rId4134" tooltip="Завантажити сертифікат" display="Завантажити сертифікат"/>
    <hyperlink ref="F4146" r:id="rId4135" tooltip="Завантажити сертифікат" display="Завантажити сертифікат"/>
    <hyperlink ref="F4147" r:id="rId4136" tooltip="Завантажити сертифікат" display="Завантажити сертифікат"/>
    <hyperlink ref="F4148" r:id="rId4137" tooltip="Завантажити сертифікат" display="Завантажити сертифікат"/>
    <hyperlink ref="F4149" r:id="rId4138" tooltip="Завантажити сертифікат" display="Завантажити сертифікат"/>
    <hyperlink ref="F4150" r:id="rId4139" tooltip="Завантажити сертифікат" display="Завантажити сертифікат"/>
    <hyperlink ref="F4151" r:id="rId4140" tooltip="Завантажити сертифікат" display="Завантажити сертифікат"/>
    <hyperlink ref="F4152" r:id="rId4141" tooltip="Завантажити сертифікат" display="Завантажити сертифікат"/>
    <hyperlink ref="F4153" r:id="rId4142" tooltip="Завантажити сертифікат" display="Завантажити сертифікат"/>
    <hyperlink ref="F4154" r:id="rId4143" tooltip="Завантажити сертифікат" display="Завантажити сертифікат"/>
    <hyperlink ref="F4155" r:id="rId4144" tooltip="Завантажити сертифікат" display="Завантажити сертифікат"/>
    <hyperlink ref="F4156" r:id="rId4145" tooltip="Завантажити сертифікат" display="Завантажити сертифікат"/>
    <hyperlink ref="F4157" r:id="rId4146" tooltip="Завантажити сертифікат" display="Завантажити сертифікат"/>
    <hyperlink ref="F4158" r:id="rId4147" tooltip="Завантажити сертифікат" display="Завантажити сертифікат"/>
    <hyperlink ref="F4159" r:id="rId4148" tooltip="Завантажити сертифікат" display="Завантажити сертифікат"/>
    <hyperlink ref="F4160" r:id="rId4149" tooltip="Завантажити сертифікат" display="Завантажити сертифікат"/>
    <hyperlink ref="F4161" r:id="rId4150" tooltip="Завантажити сертифікат" display="Завантажити сертифікат"/>
    <hyperlink ref="F4162" r:id="rId4151" tooltip="Завантажити сертифікат" display="Завантажити сертифікат"/>
    <hyperlink ref="F4163" r:id="rId4152" tooltip="Завантажити сертифікат" display="Завантажити сертифікат"/>
    <hyperlink ref="F4164" r:id="rId4153" tooltip="Завантажити сертифікат" display="Завантажити сертифікат"/>
    <hyperlink ref="F4165" r:id="rId4154" tooltip="Завантажити сертифікат" display="Завантажити сертифікат"/>
    <hyperlink ref="F4166" r:id="rId4155" tooltip="Завантажити сертифікат" display="Завантажити сертифікат"/>
    <hyperlink ref="F4167" r:id="rId4156" tooltip="Завантажити сертифікат" display="Завантажити сертифікат"/>
    <hyperlink ref="F4168" r:id="rId4157" tooltip="Завантажити сертифікат" display="Завантажити сертифікат"/>
    <hyperlink ref="F4169" r:id="rId4158" tooltip="Завантажити сертифікат" display="Завантажити сертифікат"/>
    <hyperlink ref="F4170" r:id="rId4159" tooltip="Завантажити сертифікат" display="Завантажити сертифікат"/>
    <hyperlink ref="F4171" r:id="rId4160" tooltip="Завантажити сертифікат" display="Завантажити сертифікат"/>
    <hyperlink ref="F4172" r:id="rId4161" tooltip="Завантажити сертифікат" display="Завантажити сертифікат"/>
    <hyperlink ref="F4173" r:id="rId4162" tooltip="Завантажити сертифікат" display="Завантажити сертифікат"/>
    <hyperlink ref="F4174" r:id="rId4163" tooltip="Завантажити сертифікат" display="Завантажити сертифікат"/>
    <hyperlink ref="F4175" r:id="rId4164" tooltip="Завантажити сертифікат" display="Завантажити сертифікат"/>
    <hyperlink ref="F4176" r:id="rId4165" tooltip="Завантажити сертифікат" display="Завантажити сертифікат"/>
    <hyperlink ref="F4177" r:id="rId4166" tooltip="Завантажити сертифікат" display="Завантажити сертифікат"/>
    <hyperlink ref="F4178" r:id="rId4167" tooltip="Завантажити сертифікат" display="Завантажити сертифікат"/>
    <hyperlink ref="F4179" r:id="rId4168" tooltip="Завантажити сертифікат" display="Завантажити сертифікат"/>
    <hyperlink ref="F4180" r:id="rId4169" tooltip="Завантажити сертифікат" display="Завантажити сертифікат"/>
    <hyperlink ref="F4181" r:id="rId4170" tooltip="Завантажити сертифікат" display="Завантажити сертифікат"/>
    <hyperlink ref="F4182" r:id="rId4171" tooltip="Завантажити сертифікат" display="Завантажити сертифікат"/>
    <hyperlink ref="F4183" r:id="rId4172" tooltip="Завантажити сертифікат" display="Завантажити сертифікат"/>
    <hyperlink ref="F4184" r:id="rId4173" tooltip="Завантажити сертифікат" display="Завантажити сертифікат"/>
    <hyperlink ref="F4185" r:id="rId4174" tooltip="Завантажити сертифікат" display="Завантажити сертифікат"/>
    <hyperlink ref="F4186" r:id="rId4175" tooltip="Завантажити сертифікат" display="Завантажити сертифікат"/>
    <hyperlink ref="F4187" r:id="rId4176" tooltip="Завантажити сертифікат" display="Завантажити сертифікат"/>
    <hyperlink ref="F4188" r:id="rId4177" tooltip="Завантажити сертифікат" display="Завантажити сертифікат"/>
    <hyperlink ref="F4189" r:id="rId4178" tooltip="Завантажити сертифікат" display="Завантажити сертифікат"/>
    <hyperlink ref="F4190" r:id="rId4179" tooltip="Завантажити сертифікат" display="Завантажити сертифікат"/>
    <hyperlink ref="F4191" r:id="rId4180" tooltip="Завантажити сертифікат" display="Завантажити сертифікат"/>
    <hyperlink ref="F4192" r:id="rId4181" tooltip="Завантажити сертифікат" display="Завантажити сертифікат"/>
    <hyperlink ref="F4193" r:id="rId4182" tooltip="Завантажити сертифікат" display="Завантажити сертифікат"/>
    <hyperlink ref="F4194" r:id="rId4183" tooltip="Завантажити сертифікат" display="Завантажити сертифікат"/>
    <hyperlink ref="F4195" r:id="rId4184" tooltip="Завантажити сертифікат" display="Завантажити сертифікат"/>
    <hyperlink ref="F4196" r:id="rId4185" tooltip="Завантажити сертифікат" display="Завантажити сертифікат"/>
    <hyperlink ref="F4197" r:id="rId4186" tooltip="Завантажити сертифікат" display="Завантажити сертифікат"/>
    <hyperlink ref="F4198" r:id="rId4187" tooltip="Завантажити сертифікат" display="Завантажити сертифікат"/>
    <hyperlink ref="F4199" r:id="rId4188" tooltip="Завантажити сертифікат" display="Завантажити сертифікат"/>
    <hyperlink ref="F4200" r:id="rId4189" tooltip="Завантажити сертифікат" display="Завантажити сертифікат"/>
    <hyperlink ref="F4201" r:id="rId4190" tooltip="Завантажити сертифікат" display="Завантажити сертифікат"/>
    <hyperlink ref="F4202" r:id="rId4191" tooltip="Завантажити сертифікат" display="Завантажити сертифікат"/>
    <hyperlink ref="F4203" r:id="rId4192" tooltip="Завантажити сертифікат" display="Завантажити сертифікат"/>
    <hyperlink ref="F4204" r:id="rId4193" tooltip="Завантажити сертифікат" display="Завантажити сертифікат"/>
    <hyperlink ref="F4205" r:id="rId4194" tooltip="Завантажити сертифікат" display="Завантажити сертифікат"/>
    <hyperlink ref="F4206" r:id="rId4195" tooltip="Завантажити сертифікат" display="Завантажити сертифікат"/>
    <hyperlink ref="F4207" r:id="rId4196" tooltip="Завантажити сертифікат" display="Завантажити сертифікат"/>
    <hyperlink ref="F4208" r:id="rId4197" tooltip="Завантажити сертифікат" display="Завантажити сертифікат"/>
    <hyperlink ref="F4209" r:id="rId4198" tooltip="Завантажити сертифікат" display="Завантажити сертифікат"/>
    <hyperlink ref="F4210" r:id="rId4199" tooltip="Завантажити сертифікат" display="Завантажити сертифікат"/>
    <hyperlink ref="F4211" r:id="rId4200" tooltip="Завантажити сертифікат" display="Завантажити сертифікат"/>
    <hyperlink ref="F4212" r:id="rId4201" tooltip="Завантажити сертифікат" display="Завантажити сертифікат"/>
    <hyperlink ref="F4213" r:id="rId4202" tooltip="Завантажити сертифікат" display="Завантажити сертифікат"/>
    <hyperlink ref="F4214" r:id="rId4203" tooltip="Завантажити сертифікат" display="Завантажити сертифікат"/>
    <hyperlink ref="F4215" r:id="rId4204" tooltip="Завантажити сертифікат" display="Завантажити сертифікат"/>
    <hyperlink ref="F4216" r:id="rId4205" tooltip="Завантажити сертифікат" display="Завантажити сертифікат"/>
    <hyperlink ref="F1134" r:id="rId4206" tooltip="Завантажити сертифікат" display="Завантажити сертифікат"/>
    <hyperlink ref="F4217" r:id="rId4207" tooltip="Завантажити сертифікат" display="Завантажити сертифікат"/>
    <hyperlink ref="F4218" r:id="rId4208" tooltip="Завантажити сертифікат" display="Завантажити сертифікат"/>
    <hyperlink ref="F4219" r:id="rId4209" tooltip="Завантажити сертифікат" display="Завантажити сертифікат"/>
    <hyperlink ref="F4220" r:id="rId4210" tooltip="Завантажити сертифікат" display="Завантажити сертифікат"/>
    <hyperlink ref="F4221" r:id="rId4211" tooltip="Завантажити сертифікат" display="Завантажити сертифікат"/>
    <hyperlink ref="F4222" r:id="rId4212" tooltip="Завантажити сертифікат" display="Завантажити сертифікат"/>
    <hyperlink ref="F4223" r:id="rId4213" tooltip="Завантажити сертифікат" display="Завантажити сертифікат"/>
    <hyperlink ref="F4224" r:id="rId4214" tooltip="Завантажити сертифікат" display="Завантажити сертифікат"/>
    <hyperlink ref="F4225" r:id="rId4215" tooltip="Завантажити сертифікат" display="Завантажити сертифікат"/>
    <hyperlink ref="F4226" r:id="rId4216" tooltip="Завантажити сертифікат" display="Завантажити сертифікат"/>
    <hyperlink ref="F4227" r:id="rId4217" tooltip="Завантажити сертифікат" display="Завантажити сертифікат"/>
    <hyperlink ref="F119" r:id="rId4218" tooltip="Завантажити сертифікат" display="Завантажити сертифікат"/>
    <hyperlink ref="F120" r:id="rId4219" tooltip="Завантажити сертифікат" display="Завантажити сертифікат"/>
    <hyperlink ref="F121" r:id="rId4220" tooltip="Завантажити сертифікат" display="Завантажити сертифікат"/>
    <hyperlink ref="F122" r:id="rId4221" tooltip="Завантажити сертифікат" display="Завантажити сертифікат"/>
    <hyperlink ref="F123" r:id="rId4222" tooltip="Завантажити сертифікат" display="Завантажити сертифікат"/>
    <hyperlink ref="F124" r:id="rId4223" tooltip="Завантажити сертифікат" display="Завантажити сертифікат"/>
    <hyperlink ref="F125" r:id="rId4224" tooltip="Завантажити сертифікат" display="Завантажити сертифікат"/>
    <hyperlink ref="F126" r:id="rId4225" tooltip="Завантажити сертифікат" display="Завантажити сертифікат"/>
    <hyperlink ref="F127" r:id="rId4226" tooltip="Завантажити сертифікат" display="Завантажити сертифікат"/>
    <hyperlink ref="F4228" r:id="rId4227" tooltip="Завантажити сертифікат" display="Завантажити сертифікат"/>
    <hyperlink ref="F4229" r:id="rId4228" tooltip="Завантажити сертифікат" display="Завантажити сертифікат"/>
    <hyperlink ref="F4230" r:id="rId4229" tooltip="Завантажити сертифікат" display="Завантажити сертифікат"/>
    <hyperlink ref="F4231" r:id="rId4230" tooltip="Завантажити сертифікат" display="Завантажити сертифікат"/>
    <hyperlink ref="F4232" r:id="rId4231" tooltip="Завантажити сертифікат" display="Завантажити сертифікат"/>
    <hyperlink ref="F4233" r:id="rId4232" tooltip="Завантажити сертифікат" display="Завантажити сертифікат"/>
    <hyperlink ref="F4234" r:id="rId4233" tooltip="Завантажити сертифікат" display="Завантажити сертифікат"/>
    <hyperlink ref="F4235" r:id="rId4234" tooltip="Завантажити сертифікат" display="Завантажити сертифікат"/>
    <hyperlink ref="F4236" r:id="rId4235" tooltip="Завантажити сертифікат" display="Завантажити сертифікат"/>
    <hyperlink ref="F4237" r:id="rId4236" tooltip="Завантажити сертифікат" display="Завантажити сертифікат"/>
    <hyperlink ref="F4238" r:id="rId4237" tooltip="Завантажити сертифікат" display="Завантажити сертифікат"/>
    <hyperlink ref="F4239" r:id="rId4238" tooltip="Завантажити сертифікат" display="Завантажити сертифікат"/>
    <hyperlink ref="F4240" r:id="rId4239" tooltip="Завантажити сертифікат" display="Завантажити сертифікат"/>
    <hyperlink ref="F4241" r:id="rId4240" tooltip="Завантажити сертифікат" display="Завантажити сертифікат"/>
    <hyperlink ref="F4242" r:id="rId4241" tooltip="Завантажити сертифікат" display="Завантажити сертифікат"/>
    <hyperlink ref="F4243" r:id="rId4242" tooltip="Завантажити сертифікат" display="Завантажити сертифікат"/>
    <hyperlink ref="F4244" r:id="rId4243" tooltip="Завантажити сертифікат" display="Завантажити сертифікат"/>
    <hyperlink ref="F4245" r:id="rId4244" tooltip="Завантажити сертифікат" display="Завантажити сертифікат"/>
    <hyperlink ref="F4246" r:id="rId4245" tooltip="Завантажити сертифікат" display="Завантажити сертифікат"/>
    <hyperlink ref="F4247" r:id="rId4246" tooltip="Завантажити сертифікат" display="Завантажити сертифікат"/>
    <hyperlink ref="F4248" r:id="rId4247" tooltip="Завантажити сертифікат" display="Завантажити сертифікат"/>
    <hyperlink ref="F4249" r:id="rId4248" tooltip="Завантажити сертифікат" display="Завантажити сертифікат"/>
    <hyperlink ref="F4250" r:id="rId4249" tooltip="Завантажити сертифікат" display="Завантажити сертифікат"/>
    <hyperlink ref="F4251" r:id="rId4250" tooltip="Завантажити сертифікат" display="Завантажити сертифікат"/>
    <hyperlink ref="F4252" r:id="rId4251" tooltip="Завантажити сертифікат" display="Завантажити сертифікат"/>
    <hyperlink ref="F4253" r:id="rId4252" tooltip="Завантажити сертифікат" display="Завантажити сертифікат"/>
    <hyperlink ref="F4254" r:id="rId4253" tooltip="Завантажити сертифікат" display="Завантажити сертифікат"/>
    <hyperlink ref="F4255" r:id="rId4254" tooltip="Завантажити сертифікат" display="Завантажити сертифікат"/>
    <hyperlink ref="F4256" r:id="rId4255" tooltip="Завантажити сертифікат" display="Завантажити сертифікат"/>
    <hyperlink ref="F4257" r:id="rId4256" tooltip="Завантажити сертифікат" display="Завантажити сертифікат"/>
    <hyperlink ref="F4258" r:id="rId4257" tooltip="Завантажити сертифікат" display="Завантажити сертифікат"/>
    <hyperlink ref="F4259" r:id="rId4258" tooltip="Завантажити сертифікат" display="Завантажити сертифікат"/>
    <hyperlink ref="F4260" r:id="rId4259" tooltip="Завантажити сертифікат" display="Завантажити сертифікат"/>
    <hyperlink ref="F4261" r:id="rId4260" tooltip="Завантажити сертифікат" display="Завантажити сертифікат"/>
  </hyperlinks>
  <pageMargins left="0.7" right="0.7" top="0.75" bottom="0.75" header="0.3" footer="0.3"/>
  <pageSetup orientation="portrait" r:id="rId42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Носик Наталя Дмитрівна</cp:lastModifiedBy>
  <dcterms:created xsi:type="dcterms:W3CDTF">2024-12-06T15:43:13Z</dcterms:created>
  <dcterms:modified xsi:type="dcterms:W3CDTF">2025-01-17T08:21:42Z</dcterms:modified>
  <cp:category/>
</cp:coreProperties>
</file>